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drawings/drawing3.xml" ContentType="application/vnd.openxmlformats-officedocument.drawing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ate1904="1" codeName="ThisWorkbook"/>
  <mc:AlternateContent xmlns:mc="http://schemas.openxmlformats.org/markup-compatibility/2006">
    <mc:Choice Requires="x15">
      <x15ac:absPath xmlns:x15ac="http://schemas.microsoft.com/office/spreadsheetml/2010/11/ac" url="G:\wvl\LO_MM\BE\Algemeen2\MVI\2.1 Buyer Groups\3.3 Buyer Groups ICT\3. Bijeenkomsten\2024 - november - vergelijking samsung en fairphone\"/>
    </mc:Choice>
  </mc:AlternateContent>
  <xr:revisionPtr revIDLastSave="0" documentId="13_ncr:1_{BFE4E0B5-55AD-4029-BA59-8D0C4151A9D1}" xr6:coauthVersionLast="47" xr6:coauthVersionMax="47" xr10:uidLastSave="{00000000-0000-0000-0000-000000000000}"/>
  <bookViews>
    <workbookView xWindow="-110" yWindow="-110" windowWidth="34620" windowHeight="14020" xr2:uid="{00000000-000D-0000-FFFF-FFFF00000000}"/>
  </bookViews>
  <sheets>
    <sheet name="Aannames" sheetId="20" r:id="rId1"/>
    <sheet name="Fairphone 5" sheetId="21" r:id="rId2"/>
    <sheet name="Samsung A54" sheetId="25" r:id="rId3"/>
    <sheet name="iPhone SE" sheetId="26" r:id="rId4"/>
    <sheet name="Vergelijking" sheetId="24" r:id="rId5"/>
    <sheet name="Totaal" sheetId="2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1" l="1"/>
  <c r="A8" i="20" l="1"/>
  <c r="A7" i="20"/>
  <c r="B10" i="21"/>
  <c r="E33" i="21" s="1"/>
  <c r="C2" i="27"/>
  <c r="C3" i="27"/>
  <c r="C4" i="27"/>
  <c r="B4" i="24"/>
  <c r="B4" i="27" s="1"/>
  <c r="C31" i="26"/>
  <c r="C32" i="26"/>
  <c r="C33" i="26"/>
  <c r="C34" i="26"/>
  <c r="C35" i="26"/>
  <c r="C36" i="26"/>
  <c r="C37" i="26"/>
  <c r="B31" i="26"/>
  <c r="B32" i="26"/>
  <c r="B33" i="26"/>
  <c r="B34" i="26"/>
  <c r="B35" i="26"/>
  <c r="B36" i="26"/>
  <c r="B37" i="26"/>
  <c r="E35" i="26"/>
  <c r="D35" i="26"/>
  <c r="D26" i="26"/>
  <c r="C26" i="26"/>
  <c r="B26" i="26"/>
  <c r="D25" i="26"/>
  <c r="C25" i="26"/>
  <c r="B25" i="26"/>
  <c r="D24" i="26"/>
  <c r="C24" i="26"/>
  <c r="B24" i="26"/>
  <c r="D23" i="26"/>
  <c r="C23" i="26"/>
  <c r="B23" i="26"/>
  <c r="D22" i="26"/>
  <c r="C22" i="26"/>
  <c r="B22" i="26"/>
  <c r="D21" i="26"/>
  <c r="C21" i="26"/>
  <c r="B21" i="26"/>
  <c r="D20" i="26"/>
  <c r="C20" i="26"/>
  <c r="B20" i="26"/>
  <c r="E32" i="26"/>
  <c r="B3" i="24"/>
  <c r="B3" i="27" s="1"/>
  <c r="B4" i="25"/>
  <c r="E31" i="25" s="1"/>
  <c r="E34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D26" i="25"/>
  <c r="C26" i="25"/>
  <c r="B26" i="25"/>
  <c r="D25" i="25"/>
  <c r="C25" i="25"/>
  <c r="B25" i="25"/>
  <c r="D24" i="25"/>
  <c r="C24" i="25"/>
  <c r="B24" i="25"/>
  <c r="D23" i="25"/>
  <c r="C23" i="25"/>
  <c r="B23" i="25"/>
  <c r="D22" i="25"/>
  <c r="C22" i="25"/>
  <c r="B22" i="25"/>
  <c r="D21" i="25"/>
  <c r="C21" i="25"/>
  <c r="B21" i="25"/>
  <c r="D20" i="25"/>
  <c r="C20" i="25"/>
  <c r="B20" i="25"/>
  <c r="E35" i="21"/>
  <c r="D31" i="21"/>
  <c r="D32" i="21"/>
  <c r="D33" i="21"/>
  <c r="D34" i="21"/>
  <c r="D35" i="21"/>
  <c r="D36" i="21"/>
  <c r="D37" i="21"/>
  <c r="C31" i="21"/>
  <c r="C32" i="21"/>
  <c r="C33" i="21"/>
  <c r="C34" i="21"/>
  <c r="C35" i="21"/>
  <c r="C36" i="21"/>
  <c r="C37" i="21"/>
  <c r="B31" i="21"/>
  <c r="B32" i="21"/>
  <c r="B33" i="21"/>
  <c r="B34" i="21"/>
  <c r="B35" i="21"/>
  <c r="B36" i="21"/>
  <c r="B37" i="21"/>
  <c r="B2" i="24"/>
  <c r="B2" i="27" s="1"/>
  <c r="B20" i="21"/>
  <c r="B21" i="21"/>
  <c r="B22" i="21"/>
  <c r="B23" i="21"/>
  <c r="B24" i="21"/>
  <c r="B25" i="21"/>
  <c r="B26" i="21"/>
  <c r="D20" i="21"/>
  <c r="D21" i="21"/>
  <c r="D22" i="21"/>
  <c r="D23" i="21"/>
  <c r="D24" i="21"/>
  <c r="D25" i="21"/>
  <c r="D26" i="21"/>
  <c r="C20" i="21"/>
  <c r="C21" i="21"/>
  <c r="C22" i="21"/>
  <c r="C23" i="21"/>
  <c r="C24" i="21"/>
  <c r="C25" i="21"/>
  <c r="C26" i="21"/>
  <c r="E32" i="21" l="1"/>
  <c r="E36" i="21"/>
  <c r="E34" i="21"/>
  <c r="E31" i="21"/>
  <c r="F35" i="26"/>
  <c r="G35" i="26" s="1"/>
  <c r="E20" i="25"/>
  <c r="F20" i="25" s="1"/>
  <c r="E37" i="21"/>
  <c r="E24" i="25"/>
  <c r="F24" i="25" s="1"/>
  <c r="E22" i="25"/>
  <c r="F22" i="25" s="1"/>
  <c r="D3" i="24" s="1"/>
  <c r="E3" i="27" s="1"/>
  <c r="E22" i="26"/>
  <c r="F22" i="26" s="1"/>
  <c r="E23" i="26"/>
  <c r="F23" i="26" s="1"/>
  <c r="D4" i="24" s="1"/>
  <c r="E4" i="27" s="1"/>
  <c r="E24" i="26"/>
  <c r="F24" i="26" s="1"/>
  <c r="E20" i="26"/>
  <c r="F20" i="26" s="1"/>
  <c r="E25" i="26"/>
  <c r="F25" i="26" s="1"/>
  <c r="E26" i="26"/>
  <c r="F26" i="26" s="1"/>
  <c r="E21" i="26"/>
  <c r="F21" i="26" s="1"/>
  <c r="D33" i="26"/>
  <c r="E33" i="26"/>
  <c r="D36" i="26"/>
  <c r="E36" i="26"/>
  <c r="D31" i="26"/>
  <c r="E31" i="26"/>
  <c r="D34" i="26"/>
  <c r="E34" i="26"/>
  <c r="D37" i="26"/>
  <c r="E37" i="26"/>
  <c r="D32" i="26"/>
  <c r="F32" i="26" s="1"/>
  <c r="G32" i="26" s="1"/>
  <c r="E26" i="25"/>
  <c r="F26" i="25" s="1"/>
  <c r="E25" i="25"/>
  <c r="F25" i="25" s="1"/>
  <c r="D37" i="25"/>
  <c r="D36" i="25"/>
  <c r="D35" i="25"/>
  <c r="D34" i="25"/>
  <c r="F34" i="25" s="1"/>
  <c r="G34" i="25" s="1"/>
  <c r="D33" i="25"/>
  <c r="F33" i="25" s="1"/>
  <c r="G33" i="25" s="1"/>
  <c r="E3" i="24" s="1"/>
  <c r="F3" i="27" s="1"/>
  <c r="D31" i="25"/>
  <c r="F31" i="25" s="1"/>
  <c r="G31" i="25" s="1"/>
  <c r="D32" i="25"/>
  <c r="F32" i="25" s="1"/>
  <c r="G32" i="25" s="1"/>
  <c r="E37" i="25"/>
  <c r="E36" i="25"/>
  <c r="E33" i="25"/>
  <c r="E32" i="25"/>
  <c r="E35" i="25"/>
  <c r="E21" i="25"/>
  <c r="F21" i="25" s="1"/>
  <c r="E23" i="25"/>
  <c r="F23" i="25" s="1"/>
  <c r="E25" i="21"/>
  <c r="F25" i="21" s="1"/>
  <c r="E22" i="21"/>
  <c r="F22" i="21" s="1"/>
  <c r="E21" i="21"/>
  <c r="F21" i="21" s="1"/>
  <c r="E20" i="21"/>
  <c r="F20" i="21" s="1"/>
  <c r="E24" i="21"/>
  <c r="F24" i="21" s="1"/>
  <c r="D2" i="24" s="1"/>
  <c r="E2" i="27" s="1"/>
  <c r="E23" i="21"/>
  <c r="F23" i="21" s="1"/>
  <c r="E26" i="21"/>
  <c r="F26" i="21" s="1"/>
  <c r="F37" i="26" l="1"/>
  <c r="G37" i="26" s="1"/>
  <c r="F36" i="25"/>
  <c r="G36" i="25" s="1"/>
  <c r="F37" i="25"/>
  <c r="G37" i="25" s="1"/>
  <c r="F31" i="26"/>
  <c r="G31" i="26" s="1"/>
  <c r="F34" i="26"/>
  <c r="G34" i="26" s="1"/>
  <c r="E4" i="24" s="1"/>
  <c r="F4" i="27" s="1"/>
  <c r="F35" i="25"/>
  <c r="G35" i="25" s="1"/>
  <c r="F33" i="26"/>
  <c r="G33" i="26" s="1"/>
  <c r="F36" i="26"/>
  <c r="G36" i="26" s="1"/>
  <c r="F36" i="21"/>
  <c r="G36" i="21" s="1"/>
  <c r="F31" i="21"/>
  <c r="G31" i="21" s="1"/>
  <c r="F37" i="21"/>
  <c r="G37" i="21" s="1"/>
  <c r="F32" i="21"/>
  <c r="G32" i="21" s="1"/>
  <c r="F34" i="21"/>
  <c r="G34" i="21" s="1"/>
  <c r="F35" i="21" l="1"/>
  <c r="G35" i="21" s="1"/>
  <c r="F33" i="21"/>
  <c r="G33" i="21" s="1"/>
  <c r="E2" i="24" l="1"/>
  <c r="F2" i="27" s="1"/>
</calcChain>
</file>

<file path=xl/sharedStrings.xml><?xml version="1.0" encoding="utf-8"?>
<sst xmlns="http://schemas.openxmlformats.org/spreadsheetml/2006/main" count="154" uniqueCount="65">
  <si>
    <t>Kost onderdeel + reparatie (raamcontract VDAB)</t>
  </si>
  <si>
    <t>CO2 totaal*</t>
  </si>
  <si>
    <t>Fairphone 2023 Impact Report, p.19</t>
  </si>
  <si>
    <t>Data</t>
  </si>
  <si>
    <t>Samsung A54</t>
  </si>
  <si>
    <t>Apple Product Environmental Report - iPhone SE (3rd generation) (p. 2)</t>
  </si>
  <si>
    <t>Apple Product Environmental Report - iPhone SE (3rd generation) (p. 8)</t>
  </si>
  <si>
    <t>Aanname</t>
  </si>
  <si>
    <t>% schermherstellingen/jaar*</t>
  </si>
  <si>
    <t>Levenduur batterij (aantal jaar)**</t>
  </si>
  <si>
    <t>Waarde</t>
  </si>
  <si>
    <t>Type informatie</t>
  </si>
  <si>
    <t>Bron / Info</t>
  </si>
  <si>
    <t>Naam van de smartphone</t>
  </si>
  <si>
    <t>Aantal jaar in de LCA-berekening</t>
  </si>
  <si>
    <t>CO2-equivalent (kg)</t>
  </si>
  <si>
    <t>CO2 emissies (kg) - Productie</t>
  </si>
  <si>
    <t>CO2 emissies (kg) - Transport</t>
  </si>
  <si>
    <t>CO2 emissies (kg) - Gebruik</t>
  </si>
  <si>
    <t>CO2 emissies (kg) - End-of-Life</t>
  </si>
  <si>
    <t>Ingebedde emissies extra batterij (kg)</t>
  </si>
  <si>
    <t>Ingebedde emissies extra scherm (kg)</t>
  </si>
  <si>
    <t>Aankoopkost - Smartphone</t>
  </si>
  <si>
    <t>Aankoopkost - Beschermhoes</t>
  </si>
  <si>
    <t>Aankoopkost - Screen protector</t>
  </si>
  <si>
    <t>Kost schermherstelling</t>
  </si>
  <si>
    <t>Aantal jaar gebruik (ambitie)</t>
  </si>
  <si>
    <t>Aankoopkost</t>
  </si>
  <si>
    <t>Kost vervanging batterij</t>
  </si>
  <si>
    <t>Totale kost</t>
  </si>
  <si>
    <t>Totale kost/jaar</t>
  </si>
  <si>
    <t>CO2 productie, transport en End-of-Life</t>
  </si>
  <si>
    <t>CO2 gebruik</t>
  </si>
  <si>
    <t>CO2 vervanging batterij</t>
  </si>
  <si>
    <t>CO2 schermherstelling</t>
  </si>
  <si>
    <t>Totaal CO2/jaar</t>
  </si>
  <si>
    <t>Raamovereenkomst 2022/HFB/OP/93534 met Dustin (incl. beste prijs garantie) - Prijs op 25/06/2024</t>
  </si>
  <si>
    <t>* Uitgedrukt in kg</t>
  </si>
  <si>
    <t>Ingebedde emissies extra batterij (%)</t>
  </si>
  <si>
    <t>Ingebedde emissies extra scherm (%)</t>
  </si>
  <si>
    <t>Fairphone 4 - 5% (persartikel op www.izm.fraunhofer.de)</t>
  </si>
  <si>
    <t>Fairphone shop - aankoopkost vervangonderdeel zonder arbeidskost</t>
  </si>
  <si>
    <t>Cfr. aannames in 'Vergelijkend duurzaamheidsrapport: Fairphone 5, Samsung A54 en iPhone SE' i.o. DOMG</t>
  </si>
  <si>
    <t>Samsung Support - Gebaseerd op prijs in de US ($80), incl. arbeidskosten en service kosten</t>
  </si>
  <si>
    <t>CO2 emissies (%) - Productie</t>
  </si>
  <si>
    <t>CO2 emissies (%) - Transport</t>
  </si>
  <si>
    <t>CO2 emissies (%) - Gebruik</t>
  </si>
  <si>
    <t>CO2 emissies (%) - End-of-Life</t>
  </si>
  <si>
    <t>Smartphone</t>
  </si>
  <si>
    <t>Smartphone 1</t>
  </si>
  <si>
    <t>Smartphone 2</t>
  </si>
  <si>
    <t>Smartphone 3</t>
  </si>
  <si>
    <t>Aantal toestellen</t>
  </si>
  <si>
    <t>Kost/jaar</t>
  </si>
  <si>
    <t>CO2(kg)/jaar</t>
  </si>
  <si>
    <t>Geschatte kost voor iPhone SE (3th generation) - Apple controleert de dekking van je service om de uiteindelijke servicekosten te bepalen</t>
  </si>
  <si>
    <t>Samsung LCA reports (SM-A546B)</t>
  </si>
  <si>
    <t>iPhone SE 64GB</t>
  </si>
  <si>
    <t>Fairphone 5 256GB</t>
  </si>
  <si>
    <t>De berekeningen in deze Excel zijn gebaseerd op LCA-data van de producenten. Deze snelle oefening werd gemaakt in het kader van een interne beslissingsproces.</t>
  </si>
  <si>
    <t>Er is geen paswoord. De bescherming kan dus gemakkelijk opgeheven worden om de Excel aan uw noden aan te passen. Pas de Excel aan, experimenteer en deel je ervaringen!</t>
  </si>
  <si>
    <t>Versie: 26 november 2024</t>
  </si>
  <si>
    <r>
      <rPr>
        <b/>
        <sz val="11"/>
        <color rgb="FFC00000"/>
        <rFont val="Calibri"/>
        <family val="2"/>
      </rPr>
      <t>Gebruik dit document niet om offertes bij een overheidsopdracht te vergelijken.</t>
    </r>
    <r>
      <rPr>
        <sz val="11"/>
        <color theme="9"/>
        <rFont val="Calibri"/>
        <family val="2"/>
      </rPr>
      <t xml:space="preserve"> Zie o.a. LCC tools developed by the European Commission (https://green-business.ec.europa.eu/green-public-procurement/life-cycle-costing_en) voor het vergelijken van offertes.</t>
    </r>
  </si>
  <si>
    <t>Deze Excel werd opgesteld door John Watt van Ecoscope SL in opdracht van het Departement Omgeving van de Vlaamse overheid als bijlage bij het rapport 'Vergelijkend duurzaamheidsrapport: Fairphone 5, Samsung A54 en iPhone SE'.</t>
  </si>
  <si>
    <t>De tabbladen van deze Excel zijn beschermd. Enkel aanpassen van de gekleurde cellen (aannames, telefoons, LCA- / prijsinformatie en verwachte gebruiksduur) is mogelijk zonder de beveiliging op te heffen.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</si>
</sst>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&quot;€&quot;\ #,##0.00"/>
    <numFmt numFmtId="165" formatCode="0.00&quot;kg&quot;"/>
    <numFmt numFmtId="166" formatCode="0\ &quot;jaar&quot;"/>
  </numFmts>
  <fonts count="10" x14ac:knownFonts="1">
    <font>
      <sz val="11"/>
      <color theme="1"/>
      <name val="Calibri"/>
      <family val="2"/>
    </font>
    <font>
      <i/>
      <sz val="11"/>
      <color rgb="FF9C6500"/>
      <name val="Calibri"/>
      <family val="2"/>
    </font>
    <font>
      <sz val="11"/>
      <color rgb="FF9C0006"/>
      <name val="Calibri"/>
      <family val="2"/>
    </font>
    <font>
      <sz val="11"/>
      <color rgb="FF006100"/>
      <name val="Calibri"/>
      <family val="2"/>
    </font>
    <font>
      <b/>
      <sz val="11"/>
      <color rgb="FFFA7D00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9"/>
      <name val="Calibri"/>
      <family val="2"/>
    </font>
    <font>
      <b/>
      <sz val="11"/>
      <color rgb="FFC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6">
    <xf numFmtId="0" fontId="0" fillId="0" borderId="0">
      <alignment vertical="center" wrapText="1"/>
    </xf>
    <xf numFmtId="0" fontId="3" fillId="2" borderId="0" applyNumberFormat="0" applyBorder="0" applyProtection="0">
      <alignment vertical="center" wrapText="1"/>
    </xf>
    <xf numFmtId="0" fontId="2" fillId="3" borderId="0" applyNumberFormat="0" applyBorder="0" applyProtection="0">
      <alignment vertical="center" wrapText="1"/>
    </xf>
    <xf numFmtId="0" fontId="1" fillId="4" borderId="0" applyNumberFormat="0" applyBorder="0" applyProtection="0">
      <alignment vertical="center" wrapText="1"/>
    </xf>
    <xf numFmtId="0" fontId="4" fillId="5" borderId="1" applyNumberFormat="0" applyProtection="0">
      <alignment vertical="center" wrapText="1"/>
    </xf>
    <xf numFmtId="0" fontId="5" fillId="0" borderId="0" applyNumberFormat="0" applyFill="0" applyBorder="0" applyAlignment="0" applyProtection="0">
      <alignment vertical="center" wrapText="1"/>
    </xf>
  </cellStyleXfs>
  <cellXfs count="26">
    <xf numFmtId="0" fontId="0" fillId="0" borderId="0" xfId="0">
      <alignment vertical="center" wrapText="1"/>
    </xf>
    <xf numFmtId="0" fontId="0" fillId="0" borderId="0" xfId="0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7" fillId="0" borderId="0" xfId="0" applyFont="1">
      <alignment vertical="center" wrapText="1"/>
    </xf>
    <xf numFmtId="0" fontId="7" fillId="0" borderId="0" xfId="0" applyFont="1" applyAlignment="1">
      <alignment horizontal="center" vertical="center" wrapText="1"/>
    </xf>
    <xf numFmtId="16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166" fontId="0" fillId="0" borderId="0" xfId="0" applyNumberFormat="1" applyAlignment="1">
      <alignment horizontal="left" vertical="center"/>
    </xf>
    <xf numFmtId="166" fontId="0" fillId="0" borderId="0" xfId="0" applyNumberFormat="1" applyAlignment="1">
      <alignment horizontal="center" vertical="center"/>
    </xf>
    <xf numFmtId="0" fontId="8" fillId="0" borderId="0" xfId="0" applyFont="1" applyAlignment="1">
      <alignment vertical="center"/>
    </xf>
    <xf numFmtId="10" fontId="0" fillId="6" borderId="0" xfId="0" applyNumberFormat="1" applyFill="1" applyAlignment="1">
      <alignment vertical="center"/>
    </xf>
    <xf numFmtId="0" fontId="0" fillId="6" borderId="0" xfId="0" applyFill="1" applyAlignment="1">
      <alignment vertical="center"/>
    </xf>
    <xf numFmtId="0" fontId="0" fillId="7" borderId="0" xfId="0" applyFill="1" applyAlignment="1">
      <alignment horizontal="center" vertical="center"/>
    </xf>
    <xf numFmtId="0" fontId="0" fillId="7" borderId="0" xfId="0" applyFill="1" applyAlignment="1">
      <alignment vertical="center"/>
    </xf>
    <xf numFmtId="1" fontId="0" fillId="7" borderId="0" xfId="0" applyNumberFormat="1" applyFill="1" applyAlignment="1">
      <alignment horizontal="center" vertical="center"/>
    </xf>
    <xf numFmtId="0" fontId="5" fillId="7" borderId="0" xfId="5" applyFill="1" applyAlignment="1">
      <alignment vertical="center"/>
    </xf>
    <xf numFmtId="165" fontId="0" fillId="7" borderId="0" xfId="0" applyNumberFormat="1" applyFill="1" applyAlignment="1">
      <alignment horizontal="center" vertical="center"/>
    </xf>
    <xf numFmtId="164" fontId="0" fillId="7" borderId="0" xfId="0" applyNumberFormat="1" applyFill="1" applyAlignment="1">
      <alignment horizontal="center" vertical="center"/>
    </xf>
    <xf numFmtId="0" fontId="6" fillId="7" borderId="0" xfId="5" applyFont="1" applyFill="1" applyAlignment="1">
      <alignment vertical="center"/>
    </xf>
    <xf numFmtId="0" fontId="6" fillId="7" borderId="0" xfId="0" applyFont="1" applyFill="1" applyAlignment="1">
      <alignment vertical="center"/>
    </xf>
    <xf numFmtId="10" fontId="0" fillId="7" borderId="0" xfId="0" applyNumberFormat="1" applyFill="1" applyAlignment="1">
      <alignment horizontal="center" vertical="center"/>
    </xf>
    <xf numFmtId="166" fontId="0" fillId="8" borderId="0" xfId="0" applyNumberFormat="1" applyFill="1" applyAlignment="1">
      <alignment horizontal="center" vertical="center"/>
    </xf>
    <xf numFmtId="3" fontId="0" fillId="8" borderId="0" xfId="0" applyNumberFormat="1" applyFill="1" applyAlignment="1">
      <alignment horizontal="center" vertical="center"/>
    </xf>
  </cellXfs>
  <cellStyles count="6">
    <cellStyle name="Berekening" xfId="4" builtinId="22" customBuiltin="1"/>
    <cellStyle name="Goed" xfId="1" builtinId="26" customBuiltin="1"/>
    <cellStyle name="Hyperlink" xfId="5" builtinId="8"/>
    <cellStyle name="Neutraal" xfId="3" builtinId="28" customBuiltin="1"/>
    <cellStyle name="Ongeldig" xfId="2" builtinId="27" customBuiltin="1"/>
    <cellStyle name="Standaard" xfId="0" builtinId="0" customBuiltin="1"/>
  </cellStyles>
  <dxfs count="106">
    <dxf>
      <numFmt numFmtId="4" formatCode="#,##0.00"/>
      <alignment horizontal="center" vertical="center" textRotation="0" wrapText="0" indent="0" justifyLastLine="0" shrinkToFit="0" readingOrder="0"/>
    </dxf>
    <dxf>
      <numFmt numFmtId="164" formatCode="&quot;€&quot;\ #,##0.00"/>
      <alignment horizontal="center" vertical="center" textRotation="0" wrapText="0" indent="0" justifyLastLine="0" shrinkToFit="0" readingOrder="0"/>
    </dxf>
    <dxf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</dxf>
    <dxf>
      <numFmt numFmtId="166" formatCode="0\ &quot;jaar&quot;"/>
      <alignment horizontal="center" vertical="center" textRotation="0" wrapText="0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/>
      </font>
      <alignment horizontal="general" vertical="center" textRotation="0" wrapText="1" indent="0" justifyLastLine="0" shrinkToFit="0" readingOrder="0"/>
    </dxf>
    <dxf>
      <numFmt numFmtId="4" formatCode="#,##0.00"/>
      <alignment horizontal="center" vertical="center" textRotation="0" wrapText="0" indent="0" justifyLastLine="0" shrinkToFit="0" readingOrder="0"/>
    </dxf>
    <dxf>
      <numFmt numFmtId="164" formatCode="&quot;€&quot;\ #,##0.00"/>
      <alignment horizontal="center" vertical="center" textRotation="0" wrapText="0" indent="0" justifyLastLine="0" shrinkToFit="0" readingOrder="0"/>
    </dxf>
    <dxf>
      <numFmt numFmtId="166" formatCode="0\ &quot;jaar&quot;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4" formatCode="#,##0.00"/>
      <alignment horizontal="center" vertical="center" textRotation="0" wrapText="0" indent="0" justifyLastLine="0" shrinkToFit="0" readingOrder="0"/>
    </dxf>
    <dxf>
      <numFmt numFmtId="4" formatCode="#,##0.00"/>
      <alignment horizontal="center" vertical="center" textRotation="0" wrapText="0" indent="0" justifyLastLine="0" shrinkToFit="0" readingOrder="0"/>
    </dxf>
    <dxf>
      <numFmt numFmtId="4" formatCode="#,##0.00"/>
      <alignment horizontal="center" vertical="center" textRotation="0" wrapText="0" indent="0" justifyLastLine="0" shrinkToFit="0" readingOrder="0"/>
    </dxf>
    <dxf>
      <numFmt numFmtId="4" formatCode="#,##0.00"/>
      <alignment horizontal="center" vertical="center" textRotation="0" wrapText="0" indent="0" justifyLastLine="0" shrinkToFit="0" readingOrder="0"/>
    </dxf>
    <dxf>
      <numFmt numFmtId="4" formatCode="#,##0.00"/>
      <alignment horizontal="center" vertical="center" textRotation="0" wrapText="0" indent="0" justifyLastLine="0" shrinkToFit="0" readingOrder="0"/>
    </dxf>
    <dxf>
      <numFmt numFmtId="4" formatCode="#,##0.00"/>
      <alignment horizontal="center" vertical="center" textRotation="0" wrapText="0" indent="0" justifyLastLine="0" shrinkToFit="0" readingOrder="0"/>
    </dxf>
    <dxf>
      <numFmt numFmtId="166" formatCode="0\ &quot;jaar&quot;"/>
      <alignment horizontal="left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164" formatCode="&quot;€&quot;\ #,##0.00"/>
      <alignment horizontal="center" vertical="center" textRotation="0" wrapText="0" indent="0" justifyLastLine="0" shrinkToFit="0" readingOrder="0"/>
    </dxf>
    <dxf>
      <numFmt numFmtId="164" formatCode="&quot;€&quot;\ #,##0.00"/>
      <alignment horizontal="center" vertical="center" textRotation="0" wrapText="0" indent="0" justifyLastLine="0" shrinkToFit="0" readingOrder="0"/>
    </dxf>
    <dxf>
      <numFmt numFmtId="164" formatCode="&quot;€&quot;\ #,##0.00"/>
      <alignment horizontal="center" vertical="center" textRotation="0" wrapText="0" indent="0" justifyLastLine="0" shrinkToFit="0" readingOrder="0"/>
    </dxf>
    <dxf>
      <numFmt numFmtId="164" formatCode="&quot;€&quot;\ #,##0.00"/>
      <alignment horizontal="center" vertical="center" textRotation="0" wrapText="0" indent="0" justifyLastLine="0" shrinkToFit="0" readingOrder="0"/>
    </dxf>
    <dxf>
      <numFmt numFmtId="164" formatCode="&quot;€&quot;\ #,##0.00"/>
      <alignment horizontal="center" vertical="center" textRotation="0" wrapText="0" indent="0" justifyLastLine="0" shrinkToFit="0" readingOrder="0"/>
    </dxf>
    <dxf>
      <numFmt numFmtId="166" formatCode="0\ &quot;jaar&quot;"/>
      <alignment horizontal="left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4" formatCode="#,##0.00"/>
      <alignment horizontal="center" vertical="center" textRotation="0" wrapText="0" indent="0" justifyLastLine="0" shrinkToFit="0" readingOrder="0"/>
    </dxf>
    <dxf>
      <numFmt numFmtId="4" formatCode="#,##0.00"/>
      <alignment horizontal="center" vertical="center" textRotation="0" wrapText="0" indent="0" justifyLastLine="0" shrinkToFit="0" readingOrder="0"/>
    </dxf>
    <dxf>
      <numFmt numFmtId="4" formatCode="#,##0.00"/>
      <alignment horizontal="center" vertical="center" textRotation="0" wrapText="0" indent="0" justifyLastLine="0" shrinkToFit="0" readingOrder="0"/>
    </dxf>
    <dxf>
      <numFmt numFmtId="4" formatCode="#,##0.00"/>
      <alignment horizontal="center" vertical="center" textRotation="0" wrapText="0" indent="0" justifyLastLine="0" shrinkToFit="0" readingOrder="0"/>
    </dxf>
    <dxf>
      <numFmt numFmtId="4" formatCode="#,##0.00"/>
      <alignment horizontal="center" vertical="center" textRotation="0" wrapText="0" indent="0" justifyLastLine="0" shrinkToFit="0" readingOrder="0"/>
    </dxf>
    <dxf>
      <numFmt numFmtId="4" formatCode="#,##0.00"/>
      <alignment horizontal="center" vertical="center" textRotation="0" wrapText="0" indent="0" justifyLastLine="0" shrinkToFit="0" readingOrder="0"/>
    </dxf>
    <dxf>
      <numFmt numFmtId="166" formatCode="0\ &quot;jaar&quot;"/>
      <alignment horizontal="left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164" formatCode="&quot;€&quot;\ #,##0.00"/>
      <alignment horizontal="center" vertical="center" textRotation="0" wrapText="0" indent="0" justifyLastLine="0" shrinkToFit="0" readingOrder="0"/>
    </dxf>
    <dxf>
      <numFmt numFmtId="164" formatCode="&quot;€&quot;\ #,##0.00"/>
      <alignment horizontal="center" vertical="center" textRotation="0" wrapText="0" indent="0" justifyLastLine="0" shrinkToFit="0" readingOrder="0"/>
    </dxf>
    <dxf>
      <numFmt numFmtId="164" formatCode="&quot;€&quot;\ #,##0.00"/>
      <alignment horizontal="center" vertical="center" textRotation="0" wrapText="0" indent="0" justifyLastLine="0" shrinkToFit="0" readingOrder="0"/>
    </dxf>
    <dxf>
      <numFmt numFmtId="164" formatCode="&quot;€&quot;\ #,##0.00"/>
      <alignment horizontal="center" vertical="center" textRotation="0" wrapText="0" indent="0" justifyLastLine="0" shrinkToFit="0" readingOrder="0"/>
    </dxf>
    <dxf>
      <numFmt numFmtId="164" formatCode="&quot;€&quot;\ #,##0.00"/>
      <alignment horizontal="center" vertical="center" textRotation="0" wrapText="0" indent="0" justifyLastLine="0" shrinkToFit="0" readingOrder="0"/>
    </dxf>
    <dxf>
      <numFmt numFmtId="166" formatCode="0\ &quot;jaar&quot;"/>
      <alignment horizontal="left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4" formatCode="#,##0.00"/>
      <alignment horizontal="center" vertical="center" textRotation="0" wrapText="0" indent="0" justifyLastLine="0" shrinkToFit="0" readingOrder="0"/>
    </dxf>
    <dxf>
      <numFmt numFmtId="4" formatCode="#,##0.00"/>
      <alignment horizontal="center" vertical="center" textRotation="0" wrapText="0" indent="0" justifyLastLine="0" shrinkToFit="0" readingOrder="0"/>
    </dxf>
    <dxf>
      <numFmt numFmtId="4" formatCode="#,##0.00"/>
      <alignment horizontal="center" vertical="center" textRotation="0" wrapText="0" indent="0" justifyLastLine="0" shrinkToFit="0" readingOrder="0"/>
    </dxf>
    <dxf>
      <numFmt numFmtId="4" formatCode="#,##0.00"/>
      <alignment horizontal="center" vertical="center" textRotation="0" wrapText="0" indent="0" justifyLastLine="0" shrinkToFit="0" readingOrder="0"/>
    </dxf>
    <dxf>
      <numFmt numFmtId="4" formatCode="#,##0.00"/>
      <alignment horizontal="center" vertical="center" textRotation="0" wrapText="0" indent="0" justifyLastLine="0" shrinkToFit="0" readingOrder="0"/>
    </dxf>
    <dxf>
      <numFmt numFmtId="4" formatCode="#,##0.00"/>
      <alignment horizontal="center" vertical="center" textRotation="0" wrapText="0" indent="0" justifyLastLine="0" shrinkToFit="0" readingOrder="0"/>
    </dxf>
    <dxf>
      <numFmt numFmtId="166" formatCode="0\ &quot;jaar&quot;"/>
      <alignment horizontal="left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164" formatCode="&quot;€&quot;\ #,##0.00"/>
      <alignment horizontal="center" vertical="center" textRotation="0" wrapText="0" indent="0" justifyLastLine="0" shrinkToFit="0" readingOrder="0"/>
    </dxf>
    <dxf>
      <numFmt numFmtId="164" formatCode="&quot;€&quot;\ #,##0.00"/>
      <alignment horizontal="center" vertical="center" textRotation="0" wrapText="0" indent="0" justifyLastLine="0" shrinkToFit="0" readingOrder="0"/>
    </dxf>
    <dxf>
      <numFmt numFmtId="164" formatCode="&quot;€&quot;\ #,##0.00"/>
      <alignment horizontal="center" vertical="center" textRotation="0" wrapText="0" indent="0" justifyLastLine="0" shrinkToFit="0" readingOrder="0"/>
    </dxf>
    <dxf>
      <numFmt numFmtId="164" formatCode="&quot;€&quot;\ #,##0.00"/>
      <alignment horizontal="center" vertical="center" textRotation="0" wrapText="0" indent="0" justifyLastLine="0" shrinkToFit="0" readingOrder="0"/>
    </dxf>
    <dxf>
      <numFmt numFmtId="164" formatCode="&quot;€&quot;\ #,##0.00"/>
      <alignment horizontal="center" vertical="center" textRotation="0" wrapText="0" indent="0" justifyLastLine="0" shrinkToFit="0" readingOrder="0"/>
    </dxf>
    <dxf>
      <numFmt numFmtId="166" formatCode="0\ &quot;jaar&quot;"/>
      <alignment horizontal="left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ill>
        <patternFill patternType="solid">
          <fgColor indexed="64"/>
          <bgColor theme="5" tint="0.59999389629810485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b/>
        <i val="0"/>
      </font>
      <border>
        <left style="medium">
          <color theme="5"/>
        </left>
      </border>
    </dxf>
    <dxf>
      <font>
        <b/>
        <i val="0"/>
      </font>
      <border>
        <right style="medium">
          <color theme="5"/>
        </right>
      </border>
    </dxf>
    <dxf>
      <font>
        <b/>
        <i val="0"/>
      </font>
      <border>
        <top style="medium">
          <color theme="5"/>
        </top>
      </border>
    </dxf>
    <dxf>
      <font>
        <b/>
        <i val="0"/>
        <color theme="0"/>
      </font>
      <fill>
        <patternFill>
          <bgColor theme="5"/>
        </patternFill>
      </fill>
    </dxf>
    <dxf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 style="thin">
          <color theme="5"/>
        </vertical>
        <horizontal style="thin">
          <color theme="5"/>
        </horizontal>
      </border>
    </dxf>
    <dxf>
      <fill>
        <patternFill>
          <bgColor rgb="FFCCCCCC"/>
        </patternFill>
      </fill>
    </dxf>
    <dxf>
      <fill>
        <patternFill>
          <bgColor rgb="FFCCCCCC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 val="0"/>
        <i val="0"/>
        <color theme="0"/>
      </font>
      <fill>
        <patternFill>
          <bgColor theme="1"/>
        </patternFill>
      </fill>
    </dxf>
    <dxf>
      <border>
        <bottom style="thin">
          <color auto="1"/>
        </bottom>
        <vertical style="thin">
          <color auto="1"/>
        </vertical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b/>
        <i val="0"/>
      </font>
      <border>
        <left style="medium">
          <color auto="1"/>
        </left>
      </border>
    </dxf>
    <dxf>
      <font>
        <b/>
        <i val="0"/>
      </font>
      <fill>
        <patternFill>
          <bgColor theme="2"/>
        </patternFill>
      </fill>
      <border>
        <right style="medium">
          <color auto="1"/>
        </right>
      </border>
    </dxf>
    <dxf>
      <font>
        <b/>
        <i val="0"/>
      </font>
      <border>
        <top style="medium">
          <color auto="1"/>
        </top>
      </border>
    </dxf>
    <dxf>
      <font>
        <b/>
        <i val="0"/>
      </font>
      <fill>
        <patternFill>
          <bgColor theme="3" tint="0.59996337778862885"/>
        </patternFill>
      </fill>
      <border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theme="0" tint="-0.499984740745262"/>
        </vertical>
        <horizontal style="thin">
          <color theme="0" tint="-0.499984740745262"/>
        </horizontal>
      </border>
    </dxf>
  </dxfs>
  <tableStyles count="3" defaultTableStyle="IMZ" defaultPivotStyle="PivotStyleLight16">
    <tableStyle name="IMZ" pivot="0" count="7" xr9:uid="{00000000-0011-0000-FFFF-FFFF00000000}">
      <tableStyleElement type="wholeTable" dxfId="105"/>
      <tableStyleElement type="headerRow" dxfId="104"/>
      <tableStyleElement type="totalRow" dxfId="103"/>
      <tableStyleElement type="firstColumn" dxfId="102"/>
      <tableStyleElement type="lastColumn" dxfId="101"/>
      <tableStyleElement type="secondRowStripe" dxfId="100"/>
      <tableStyleElement type="secondColumnStripe" dxfId="99"/>
    </tableStyle>
    <tableStyle name="LNE" pivot="0" count="7" xr9:uid="{00000000-0011-0000-FFFF-FFFF01000000}">
      <tableStyleElement type="wholeTable" dxfId="98"/>
      <tableStyleElement type="headerRow" dxfId="97"/>
      <tableStyleElement type="totalRow" dxfId="96"/>
      <tableStyleElement type="firstColumn" dxfId="95"/>
      <tableStyleElement type="lastColumn" dxfId="94"/>
      <tableStyleElement type="secondRowStripe" dxfId="93"/>
      <tableStyleElement type="secondColumnStripe" dxfId="92"/>
    </tableStyle>
    <tableStyle name="OMG" pivot="0" count="7" xr9:uid="{00000000-0011-0000-FFFF-FFFF02000000}">
      <tableStyleElement type="wholeTable" dxfId="91"/>
      <tableStyleElement type="headerRow" dxfId="90"/>
      <tableStyleElement type="totalRow" dxfId="89"/>
      <tableStyleElement type="firstColumn" dxfId="88"/>
      <tableStyleElement type="lastColumn" dxfId="87"/>
      <tableStyleElement type="secondRowStripe" dxfId="86"/>
      <tableStyleElement type="secondColumnStripe" dxfId="85"/>
    </tableStyle>
  </tableStyles>
  <colors>
    <mruColors>
      <color rgb="FFCCCCCC"/>
      <color rgb="FFB3B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342900</xdr:colOff>
      <xdr:row>0</xdr:row>
      <xdr:rowOff>0</xdr:rowOff>
    </xdr:from>
    <xdr:to>
      <xdr:col>25</xdr:col>
      <xdr:colOff>17719</xdr:colOff>
      <xdr:row>36</xdr:row>
      <xdr:rowOff>113357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5AB8985-F7A5-8C6D-F2AF-23A1E71CA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25225" y="0"/>
          <a:ext cx="10647619" cy="7542857"/>
        </a:xfrm>
        <a:prstGeom prst="rect">
          <a:avLst/>
        </a:prstGeom>
      </xdr:spPr>
    </xdr:pic>
    <xdr:clientData/>
  </xdr:twoCellAnchor>
  <xdr:twoCellAnchor editAs="oneCell">
    <xdr:from>
      <xdr:col>7</xdr:col>
      <xdr:colOff>361950</xdr:colOff>
      <xdr:row>38</xdr:row>
      <xdr:rowOff>76200</xdr:rowOff>
    </xdr:from>
    <xdr:to>
      <xdr:col>22</xdr:col>
      <xdr:colOff>351283</xdr:colOff>
      <xdr:row>86</xdr:row>
      <xdr:rowOff>103628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D98C4E16-BB61-72E3-ECE7-48126EBA3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44275" y="7696200"/>
          <a:ext cx="9133333" cy="91714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38100</xdr:rowOff>
    </xdr:from>
    <xdr:to>
      <xdr:col>27</xdr:col>
      <xdr:colOff>569981</xdr:colOff>
      <xdr:row>33</xdr:row>
      <xdr:rowOff>8671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70F33D35-7AFC-D6E7-DFD7-D5CB178A1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91925" y="38100"/>
          <a:ext cx="12152381" cy="68285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6</xdr:row>
      <xdr:rowOff>76200</xdr:rowOff>
    </xdr:from>
    <xdr:to>
      <xdr:col>18</xdr:col>
      <xdr:colOff>227809</xdr:colOff>
      <xdr:row>12</xdr:row>
      <xdr:rowOff>123676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E54D471-8B0C-C65E-7030-2F7704854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91925" y="1219200"/>
          <a:ext cx="6323809" cy="1190476"/>
        </a:xfrm>
        <a:prstGeom prst="rect">
          <a:avLst/>
        </a:prstGeom>
      </xdr:spPr>
    </xdr:pic>
    <xdr:clientData/>
  </xdr:twoCellAnchor>
  <xdr:twoCellAnchor editAs="oneCell">
    <xdr:from>
      <xdr:col>7</xdr:col>
      <xdr:colOff>581025</xdr:colOff>
      <xdr:row>0</xdr:row>
      <xdr:rowOff>0</xdr:rowOff>
    </xdr:from>
    <xdr:to>
      <xdr:col>15</xdr:col>
      <xdr:colOff>228034</xdr:colOff>
      <xdr:row>5</xdr:row>
      <xdr:rowOff>142738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EBDE3FCC-29C4-D1C6-9BFC-EAEA4B5F9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63350" y="0"/>
          <a:ext cx="4523809" cy="109523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1B479FD-B3B9-435E-B1CC-381360DA10D6}" name="tblAssumpties" displayName="tblAssumpties" ref="A1:B3" totalsRowShown="0" headerRowDxfId="84" dataDxfId="83">
  <autoFilter ref="A1:B3" xr:uid="{51B479FD-B3B9-435E-B1CC-381360DA10D6}"/>
  <tableColumns count="2">
    <tableColumn id="1" xr3:uid="{76F7AF55-E1EB-42AB-8A05-2954226A1F1C}" name="Aanname" dataDxfId="82"/>
    <tableColumn id="2" xr3:uid="{BC4CDEEA-FC68-45F9-B834-9BB2474E8F1C}" name="Waarde" dataDxfId="81"/>
  </tableColumns>
  <tableStyleInfo name="OMG"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38ABE1AA-CFE9-4D92-AB44-8143CF2B47D2}" name="tblCO2Phone3" displayName="tblCO2Phone3" ref="A30:G37" totalsRowShown="0" headerRowDxfId="23" dataDxfId="22">
  <autoFilter ref="A30:G37" xr:uid="{790034EE-C74B-4B8A-8B98-18D2B7265660}"/>
  <tableColumns count="7">
    <tableColumn id="1" xr3:uid="{1F66C832-E296-418D-BBE3-7073BA3F16D6}" name="Aantal jaar gebruik (ambitie)" dataDxfId="21"/>
    <tableColumn id="2" xr3:uid="{2F88FD41-608B-4D05-B77C-80A562FB1487}" name="CO2 productie, transport en End-of-Life" dataDxfId="20">
      <calculatedColumnFormula>SUM(B$5,B$6,B$8)*B$4</calculatedColumnFormula>
    </tableColumn>
    <tableColumn id="3" xr3:uid="{CAD65A52-6A02-4D85-A632-CCA39BFD9C5B}" name="CO2 gebruik" dataDxfId="19">
      <calculatedColumnFormula>((B$7*B$4)/B$3)*tblCO2Phone3[[#This Row],[Aantal jaar gebruik (ambitie)]]</calculatedColumnFormula>
    </tableColumn>
    <tableColumn id="4" xr3:uid="{7EC66D68-8F18-46FE-97D1-27A5DE754930}" name="CO2 vervanging batterij" dataDxfId="18">
      <calculatedColumnFormula>ROUNDDOWN((tblCO2Phone3[[#This Row],[Aantal jaar gebruik (ambitie)]]-1)/Aannames!B$3,0)*(B$9*B$4)</calculatedColumnFormula>
    </tableColumn>
    <tableColumn id="5" xr3:uid="{4F0A6F95-4937-4A37-A03A-71C1D46B596B}" name="CO2 schermherstelling" dataDxfId="17">
      <calculatedColumnFormula>IF(tblCO2Phone3[[#This Row],[Aantal jaar gebruik (ambitie)]]=1,0,tblCO2Phone3[[#This Row],[Aantal jaar gebruik (ambitie)]]*Aannames!B$2)*(B$10*B$4)</calculatedColumnFormula>
    </tableColumn>
    <tableColumn id="6" xr3:uid="{E590FC87-46E9-45E7-9C50-8BD33C9C1709}" name="CO2 totaal*" dataDxfId="16">
      <calculatedColumnFormula>SUM(tblCO2Phone3[[#This Row],[CO2 productie, transport en End-of-Life]:[CO2 schermherstelling]])</calculatedColumnFormula>
    </tableColumn>
    <tableColumn id="7" xr3:uid="{B410EAEA-EE1F-4403-B696-1ACC3A865441}" name="Totaal CO2/jaar" dataDxfId="15">
      <calculatedColumnFormula>tblCO2Phone3[[#This Row],[CO2 totaal*]]/tblCO2Phone3[[#This Row],[Aantal jaar gebruik (ambitie)]]</calculatedColumnFormula>
    </tableColumn>
  </tableColumns>
  <tableStyleInfo name="TableStyleMedium6" showFirstColumn="1" showLastColumn="1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135BA34-9368-4CF9-B925-D7CB92614338}" name="tblVergelijking" displayName="tblVergelijking" ref="A1:E4" totalsRowShown="0" headerRowDxfId="14" dataDxfId="13">
  <autoFilter ref="A1:E4" xr:uid="{1135BA34-9368-4CF9-B925-D7CB92614338}"/>
  <tableColumns count="5">
    <tableColumn id="1" xr3:uid="{8883EE65-91C4-4B36-86F7-BF9458E16376}" name="Smartphone" dataDxfId="12"/>
    <tableColumn id="2" xr3:uid="{C9D2EF9F-C2D0-415E-97D1-86D6628CEA80}" name="Naam van de smartphone" dataDxfId="11">
      <calculatedColumnFormula>tblInfoPhone1[[#This Row],[Data]]</calculatedColumnFormula>
    </tableColumn>
    <tableColumn id="3" xr3:uid="{E76AD4BE-9553-447A-A337-0CF68AD74EA1}" name="Aantal jaar gebruik (ambitie)" dataDxfId="10"/>
    <tableColumn id="4" xr3:uid="{85EF22C9-D708-4612-8E3A-20311E591024}" name="Kost/jaar" dataDxfId="9">
      <calculatedColumnFormula>IF(tblVergelijking[[#This Row],[Aantal jaar gebruik (ambitie)]]=0,0,VLOOKUP(tblVergelijking[[#This Row],[Aantal jaar gebruik (ambitie)]],tblTCOPhone1[],6,FALSE))</calculatedColumnFormula>
    </tableColumn>
    <tableColumn id="5" xr3:uid="{E16AC8AF-65A9-4751-9804-B304113FF2EE}" name="CO2(kg)/jaar" dataDxfId="8">
      <calculatedColumnFormula>IF(tblVergelijking[[#This Row],[Aantal jaar gebruik (ambitie)]]=0,0,VLOOKUP(tblVergelijking[[#This Row],[Aantal jaar gebruik (ambitie)]],tblCO2Phone1[],5,FALSE))</calculatedColumnFormula>
    </tableColumn>
  </tableColumns>
  <tableStyleInfo name="TableStyleMedium1" showFirstColumn="0" showLastColumn="0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B1F3ED6-5201-4C7B-9B77-AE9D6123DD0E}" name="tblTotaalcijfers" displayName="tblTotaalcijfers" ref="A1:F4" totalsRowShown="0" headerRowDxfId="7" dataDxfId="6">
  <autoFilter ref="A1:F4" xr:uid="{9B1F3ED6-5201-4C7B-9B77-AE9D6123DD0E}"/>
  <tableColumns count="6">
    <tableColumn id="1" xr3:uid="{F8B59ADA-A10F-4174-88B8-ECE55EBAC321}" name="Smartphone" dataDxfId="5"/>
    <tableColumn id="2" xr3:uid="{A680A5D8-6A69-4973-9722-6426A759FCBC}" name="Naam van de smartphone" dataDxfId="4">
      <calculatedColumnFormula>tblVergelijking[[#This Row],[Naam van de smartphone]]</calculatedColumnFormula>
    </tableColumn>
    <tableColumn id="3" xr3:uid="{BA8EB2E2-3D75-4490-8FB1-57333D09528B}" name="Aantal jaar gebruik (ambitie)" dataDxfId="3">
      <calculatedColumnFormula>tblVergelijking[[#This Row],[Aantal jaar gebruik (ambitie)]]</calculatedColumnFormula>
    </tableColumn>
    <tableColumn id="4" xr3:uid="{745E2C0C-8514-43E0-92C7-D301FF36F9BB}" name="Aantal toestellen" dataDxfId="2"/>
    <tableColumn id="5" xr3:uid="{55DFD54A-C3A0-4BF3-BFAD-5C97634EA2BE}" name="Totale kost/jaar" dataDxfId="1">
      <calculatedColumnFormula>tblTotaalcijfers[[#This Row],[Aantal toestellen]]*tblVergelijking[[#This Row],[Kost/jaar]]</calculatedColumnFormula>
    </tableColumn>
    <tableColumn id="6" xr3:uid="{A950E51F-6AB3-4F29-A2EA-15A557CB110F}" name="Totaal CO2/jaar" dataDxfId="0">
      <calculatedColumnFormula>tblTotaalcijfers[[#This Row],[Aantal toestellen]]*tblVergelijking[[#This Row],[CO2(kg)/jaar]]</calculatedColumnFormula>
    </tableColumn>
  </tableColumns>
  <tableStyleInfo name="TableStyleMedium1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B3117B7-EA9B-486C-884F-4046164F820D}" name="tblInfoPhone1" displayName="tblInfoPhone1" ref="A1:C15" totalsRowShown="0" headerRowDxfId="80" dataDxfId="79">
  <autoFilter ref="A1:C15" xr:uid="{AB3117B7-EA9B-486C-884F-4046164F820D}"/>
  <tableColumns count="3">
    <tableColumn id="1" xr3:uid="{E4E61A1D-EBB4-4617-8B10-B77664FEB277}" name="Type informatie" dataDxfId="78"/>
    <tableColumn id="2" xr3:uid="{F5AD8B78-B31A-482E-8CD6-B63A97B0FA9A}" name="Data" dataDxfId="77"/>
    <tableColumn id="3" xr3:uid="{25A5E555-5500-49FD-8210-03ECD64CBFF1}" name="Bron / Info" dataDxfId="76"/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E8123FE-8F29-4DBA-8F22-5A2646FDFBD1}" name="tblTCOPhone1" displayName="tblTCOPhone1" ref="A19:F26" totalsRowShown="0" headerRowDxfId="75" dataDxfId="74">
  <autoFilter ref="A19:F26" xr:uid="{6E8123FE-8F29-4DBA-8F22-5A2646FDFBD1}"/>
  <tableColumns count="6">
    <tableColumn id="1" xr3:uid="{B1443184-B04F-49D3-814F-49EADFEFFA03}" name="Aantal jaar gebruik (ambitie)" dataDxfId="73"/>
    <tableColumn id="2" xr3:uid="{3DD31D4F-BC6F-42B8-A346-EE98A372D0BA}" name="Aankoopkost" dataDxfId="72">
      <calculatedColumnFormula>SUM(B$11:B$13)</calculatedColumnFormula>
    </tableColumn>
    <tableColumn id="3" xr3:uid="{2A7598B7-5C72-4DAD-85BB-C03CD9DB7D3B}" name="Kost vervanging batterij" dataDxfId="71">
      <calculatedColumnFormula>ROUNDDOWN((tblTCOPhone1[[#This Row],[Aantal jaar gebruik (ambitie)]]-1)/Aannames!B$3,0)*B$14</calculatedColumnFormula>
    </tableColumn>
    <tableColumn id="4" xr3:uid="{10CE6A8F-47D1-475A-A19D-3A37C9E3F817}" name="Kost schermherstelling" dataDxfId="70">
      <calculatedColumnFormula>IF(tblTCOPhone1[[#This Row],[Aantal jaar gebruik (ambitie)]]=1,0,tblTCOPhone1[[#This Row],[Aantal jaar gebruik (ambitie)]]*Aannames!B$2)*B$15</calculatedColumnFormula>
    </tableColumn>
    <tableColumn id="7" xr3:uid="{C599C830-7289-40AE-B0DA-89A167B412F3}" name="Totale kost" dataDxfId="69">
      <calculatedColumnFormula>SUM(tblTCOPhone1[[#This Row],[Aankoopkost]:[Kost schermherstelling]])</calculatedColumnFormula>
    </tableColumn>
    <tableColumn id="5" xr3:uid="{D577F21B-F897-407B-B5A3-183A43F1CAAB}" name="Totale kost/jaar" dataDxfId="68">
      <calculatedColumnFormula>tblTCOPhone1[[#This Row],[Totale kost]]/tblTCOPhone1[[#This Row],[Aantal jaar gebruik (ambitie)]]</calculatedColumnFormula>
    </tableColumn>
  </tableColumns>
  <tableStyleInfo name="TableStyleLight14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90034EE-C74B-4B8A-8B98-18D2B7265660}" name="tblCO2Phone1" displayName="tblCO2Phone1" ref="A30:G37" totalsRowShown="0" headerRowDxfId="67" dataDxfId="66">
  <autoFilter ref="A30:G37" xr:uid="{790034EE-C74B-4B8A-8B98-18D2B7265660}"/>
  <tableColumns count="7">
    <tableColumn id="1" xr3:uid="{7B7924EE-FF45-438B-9C2F-EA36A5B02DC3}" name="Aantal jaar gebruik (ambitie)" dataDxfId="65"/>
    <tableColumn id="2" xr3:uid="{32366076-F8E4-4573-8410-0B5643292A71}" name="CO2 productie, transport en End-of-Life" dataDxfId="64">
      <calculatedColumnFormula>SUM(B$5,B$6,B$8)</calculatedColumnFormula>
    </tableColumn>
    <tableColumn id="3" xr3:uid="{EA34B845-51BF-49E6-90F6-1F5AFD1DF10E}" name="CO2 gebruik" dataDxfId="63">
      <calculatedColumnFormula>(B$7/B$3)*tblCO2Phone1[[#This Row],[Aantal jaar gebruik (ambitie)]]</calculatedColumnFormula>
    </tableColumn>
    <tableColumn id="4" xr3:uid="{EB1420AC-418B-4375-ADAC-D44196676CD0}" name="CO2 vervanging batterij" dataDxfId="62">
      <calculatedColumnFormula>ROUNDDOWN((tblCO2Phone1[[#This Row],[Aantal jaar gebruik (ambitie)]]-1)/Aannames!B$3,0)*B$9</calculatedColumnFormula>
    </tableColumn>
    <tableColumn id="5" xr3:uid="{CA453D07-7C5C-45C8-95C5-1ADC9420C00E}" name="CO2 schermherstelling" dataDxfId="61">
      <calculatedColumnFormula>IF(tblCO2Phone1[[#This Row],[Aantal jaar gebruik (ambitie)]]=1,0,tblCO2Phone1[[#This Row],[Aantal jaar gebruik (ambitie)]]*Aannames!B$2)*B$10</calculatedColumnFormula>
    </tableColumn>
    <tableColumn id="6" xr3:uid="{547ACFD5-A469-49F8-B772-23AF03C9FF30}" name="CO2 totaal*" dataDxfId="60">
      <calculatedColumnFormula>SUM(tblCO2Phone1[[#This Row],[CO2 productie, transport en End-of-Life]:[CO2 schermherstelling]])</calculatedColumnFormula>
    </tableColumn>
    <tableColumn id="7" xr3:uid="{0E198917-658C-459C-B08B-385708B92E6A}" name="Totaal CO2/jaar" dataDxfId="59">
      <calculatedColumnFormula>tblCO2Phone1[[#This Row],[CO2 totaal*]]/tblCO2Phone1[[#This Row],[Aantal jaar gebruik (ambitie)]]</calculatedColumnFormula>
    </tableColumn>
  </tableColumns>
  <tableStyleInfo name="TableStyleMedium6" showFirstColumn="1" showLastColumn="1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E15E918-BCB0-4977-9E7B-1320246E2BEB}" name="tblInfoPhone2" displayName="tblInfoPhone2" ref="A1:C15" totalsRowShown="0" headerRowDxfId="58" dataDxfId="57">
  <autoFilter ref="A1:C15" xr:uid="{AB3117B7-EA9B-486C-884F-4046164F820D}"/>
  <tableColumns count="3">
    <tableColumn id="1" xr3:uid="{E3C82882-3229-4C19-B5A2-713B9E10F7CB}" name="Type informatie" dataDxfId="56"/>
    <tableColumn id="2" xr3:uid="{FF8667D9-F874-4380-BA1C-53E54E1AFFDA}" name="Data" dataDxfId="55"/>
    <tableColumn id="3" xr3:uid="{BAECB20C-E7A2-4DAB-B370-DDE2A473CB81}" name="Bron / Info" dataDxfId="54"/>
  </tableColumns>
  <tableStyleInfo name="TableStyleMedium2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A42C744-D943-4910-9F63-4606E6B9AAFA}" name="tblTCOPhone2" displayName="tblTCOPhone2" ref="A19:F26" totalsRowShown="0" headerRowDxfId="53" dataDxfId="52">
  <autoFilter ref="A19:F26" xr:uid="{6E8123FE-8F29-4DBA-8F22-5A2646FDFBD1}"/>
  <tableColumns count="6">
    <tableColumn id="1" xr3:uid="{FF267545-4F5E-4DA0-A013-ACC2DABEAC56}" name="Aantal jaar gebruik (ambitie)" dataDxfId="51"/>
    <tableColumn id="2" xr3:uid="{56034B1F-B1A1-4E2D-AB42-B38431C3CE11}" name="Aankoopkost" dataDxfId="50">
      <calculatedColumnFormula>SUM(B$11:B$13)</calculatedColumnFormula>
    </tableColumn>
    <tableColumn id="3" xr3:uid="{A514E7A8-8F4E-4EA4-A41E-2ADC49136B4C}" name="Kost vervanging batterij" dataDxfId="49">
      <calculatedColumnFormula>ROUNDDOWN((tblTCOPhone2[[#This Row],[Aantal jaar gebruik (ambitie)]]-1)/Aannames!B$3,0)*B$14</calculatedColumnFormula>
    </tableColumn>
    <tableColumn id="4" xr3:uid="{B05DE7A4-89F4-4454-91DB-F7E00C95527A}" name="Kost schermherstelling" dataDxfId="48">
      <calculatedColumnFormula>IF(tblTCOPhone2[[#This Row],[Aantal jaar gebruik (ambitie)]]=1,0,tblTCOPhone2[[#This Row],[Aantal jaar gebruik (ambitie)]]*Aannames!B$2)*B$15</calculatedColumnFormula>
    </tableColumn>
    <tableColumn id="7" xr3:uid="{EAEA2180-F55B-402F-BC1C-62CD68054502}" name="Totale kost" dataDxfId="47">
      <calculatedColumnFormula>SUM(tblTCOPhone2[[#This Row],[Aankoopkost]:[Kost schermherstelling]])</calculatedColumnFormula>
    </tableColumn>
    <tableColumn id="5" xr3:uid="{763890B3-4199-4A2B-A22F-A72107BE2343}" name="Totale kost/jaar" dataDxfId="46">
      <calculatedColumnFormula>tblTCOPhone2[[#This Row],[Totale kost]]/tblTCOPhone2[[#This Row],[Aantal jaar gebruik (ambitie)]]</calculatedColumnFormula>
    </tableColumn>
  </tableColumns>
  <tableStyleInfo name="TableStyleLight14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08E4433-D26A-4219-9DE1-90033B0872E1}" name="tblCO2Phone2" displayName="tblCO2Phone2" ref="A30:G37" totalsRowShown="0" headerRowDxfId="45" dataDxfId="44">
  <autoFilter ref="A30:G37" xr:uid="{790034EE-C74B-4B8A-8B98-18D2B7265660}"/>
  <tableColumns count="7">
    <tableColumn id="1" xr3:uid="{8C1C7639-2B53-40DC-9486-D29035F6977C}" name="Aantal jaar gebruik (ambitie)" dataDxfId="43"/>
    <tableColumn id="2" xr3:uid="{FC04DE8E-FB89-479A-9F93-918739E29BDA}" name="CO2 productie, transport en End-of-Life" dataDxfId="42">
      <calculatedColumnFormula>SUM(B$5,B$6,B$8)</calculatedColumnFormula>
    </tableColumn>
    <tableColumn id="3" xr3:uid="{CAA39C72-EA30-40D9-B252-4BEC08791218}" name="CO2 gebruik" dataDxfId="41">
      <calculatedColumnFormula>(B$7/B$3)*tblCO2Phone2[[#This Row],[Aantal jaar gebruik (ambitie)]]</calculatedColumnFormula>
    </tableColumn>
    <tableColumn id="4" xr3:uid="{EB3290D9-760D-43D9-A8C9-884F2D6A8C99}" name="CO2 vervanging batterij" dataDxfId="40">
      <calculatedColumnFormula>ROUNDDOWN((tblCO2Phone2[[#This Row],[Aantal jaar gebruik (ambitie)]]-1)/Aannames!B$3,0)*(B$9*B$4)</calculatedColumnFormula>
    </tableColumn>
    <tableColumn id="5" xr3:uid="{CD8CD210-DDCE-4D72-BF0F-C7585661FBA0}" name="CO2 schermherstelling" dataDxfId="39">
      <calculatedColumnFormula>IF(tblCO2Phone2[[#This Row],[Aantal jaar gebruik (ambitie)]]=1,0,tblCO2Phone2[[#This Row],[Aantal jaar gebruik (ambitie)]]*Aannames!B$2)*(B$10*B$4)</calculatedColumnFormula>
    </tableColumn>
    <tableColumn id="6" xr3:uid="{D084BE4E-638C-48BC-B35E-066ED8CCEFCF}" name="CO2 totaal*" dataDxfId="38">
      <calculatedColumnFormula>SUM(tblCO2Phone2[[#This Row],[CO2 productie, transport en End-of-Life]:[CO2 schermherstelling]])</calculatedColumnFormula>
    </tableColumn>
    <tableColumn id="7" xr3:uid="{B31F8F2A-FBD8-48CD-A31B-5E84B4C4125E}" name="Totaal CO2/jaar" dataDxfId="37">
      <calculatedColumnFormula>tblCO2Phone2[[#This Row],[CO2 totaal*]]/tblCO2Phone2[[#This Row],[Aantal jaar gebruik (ambitie)]]</calculatedColumnFormula>
    </tableColumn>
  </tableColumns>
  <tableStyleInfo name="TableStyleMedium6" showFirstColumn="1" showLastColumn="1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E5FB25E8-0092-4EFC-90B7-D5B03D67EA15}" name="tblInfoPhone3" displayName="tblInfoPhone3" ref="A1:C15" totalsRowShown="0" headerRowDxfId="36" dataDxfId="35">
  <autoFilter ref="A1:C15" xr:uid="{AB3117B7-EA9B-486C-884F-4046164F820D}"/>
  <tableColumns count="3">
    <tableColumn id="1" xr3:uid="{5A0620DF-F003-4501-8C07-AF0791BC358D}" name="Type informatie" dataDxfId="34"/>
    <tableColumn id="2" xr3:uid="{3A738544-CC40-4C45-93D0-3772FDA0775B}" name="Data" dataDxfId="33"/>
    <tableColumn id="3" xr3:uid="{5B4EBD64-BA2D-4682-A38E-CF5CC5AB8AE7}" name="Bron / Info" dataDxfId="32"/>
  </tableColumns>
  <tableStyleInfo name="TableStyleMedium2"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03CF2D6-15C9-40F8-B37E-0F942A4C7F73}" name="tblTCOPhone3" displayName="tblTCOPhone3" ref="A19:F26" totalsRowShown="0" headerRowDxfId="31" dataDxfId="30">
  <autoFilter ref="A19:F26" xr:uid="{6E8123FE-8F29-4DBA-8F22-5A2646FDFBD1}"/>
  <tableColumns count="6">
    <tableColumn id="1" xr3:uid="{968AD3F6-9032-41AE-B541-F975C6F796AC}" name="Aantal jaar gebruik (ambitie)" dataDxfId="29"/>
    <tableColumn id="2" xr3:uid="{A1A26554-F4D7-4D0B-8072-F1CD5AD248F1}" name="Aankoopkost" dataDxfId="28">
      <calculatedColumnFormula>SUM(B$11:B$13)</calculatedColumnFormula>
    </tableColumn>
    <tableColumn id="3" xr3:uid="{0331BE4D-42AE-487C-B2CE-5721DB7E6211}" name="Kost vervanging batterij" dataDxfId="27">
      <calculatedColumnFormula>ROUNDDOWN((tblTCOPhone3[[#This Row],[Aantal jaar gebruik (ambitie)]]-1)/Aannames!B$3,0)*B$14</calculatedColumnFormula>
    </tableColumn>
    <tableColumn id="4" xr3:uid="{949EBFE0-8AB2-42ED-9D9C-435F423063EA}" name="Kost schermherstelling" dataDxfId="26">
      <calculatedColumnFormula>IF(tblTCOPhone3[[#This Row],[Aantal jaar gebruik (ambitie)]]=1,0,tblTCOPhone3[[#This Row],[Aantal jaar gebruik (ambitie)]]*Aannames!B$2)*B$15</calculatedColumnFormula>
    </tableColumn>
    <tableColumn id="7" xr3:uid="{3D0617DF-B958-4729-B669-EC7544DC2216}" name="Totale kost" dataDxfId="25">
      <calculatedColumnFormula>SUM(tblTCOPhone3[[#This Row],[Aankoopkost]:[Kost schermherstelling]])</calculatedColumnFormula>
    </tableColumn>
    <tableColumn id="5" xr3:uid="{44C910AB-DEFA-4E06-8EF7-6F5EEB2A30F1}" name="Totale kost/jaar" dataDxfId="24">
      <calculatedColumnFormula>tblTCOPhone3[[#This Row],[Totale kost]]/tblTCOPhone3[[#This Row],[Aantal jaar gebruik (ambitie)]]</calculatedColumnFormula>
    </tableColumn>
  </tableColumns>
  <tableStyleInfo name="TableStyleLight14" showFirstColumn="1" showLastColumn="1" showRowStripes="1" showColumnStripes="0"/>
</table>
</file>

<file path=xl/theme/theme1.xml><?xml version="1.0" encoding="utf-8"?>
<a:theme xmlns:a="http://schemas.openxmlformats.org/drawingml/2006/main" name="Kantoor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 - klassiek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airphone.com/wp-content/uploads/2024/06/Fairphone-2023-Impact-Report-.pdf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https://www.fairphone.com/wp-content/uploads/2024/06/Fairphone-2023-Impact-Report-.pdf" TargetMode="External"/><Relationship Id="rId7" Type="http://schemas.openxmlformats.org/officeDocument/2006/relationships/hyperlink" Target="https://www.fairphone.com/wp-content/uploads/2024/06/Fairphone-2023-Impact-Report-.pdf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shop.fairphone.com/nl/shop-home" TargetMode="External"/><Relationship Id="rId16" Type="http://schemas.openxmlformats.org/officeDocument/2006/relationships/table" Target="../tables/table4.xml"/><Relationship Id="rId1" Type="http://schemas.openxmlformats.org/officeDocument/2006/relationships/hyperlink" Target="https://shop.fairphone.com/nl/shop-home" TargetMode="External"/><Relationship Id="rId6" Type="http://schemas.openxmlformats.org/officeDocument/2006/relationships/hyperlink" Target="https://www.fairphone.com/wp-content/uploads/2024/06/Fairphone-2023-Impact-Report-.pdf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s://www.fairphone.com/wp-content/uploads/2024/06/Fairphone-2023-Impact-Report-.pdf" TargetMode="External"/><Relationship Id="rId15" Type="http://schemas.openxmlformats.org/officeDocument/2006/relationships/table" Target="../tables/table3.xml"/><Relationship Id="rId10" Type="http://schemas.openxmlformats.org/officeDocument/2006/relationships/hyperlink" Target="https://www.izm.fraunhofer.de/en/news_events/tech_news/keeping-phones-for-5-years-cuts-yearly-impact-on-global-warming/jcr:content/fixedContent/pressArticleParsys/textwithinlinedimage/imageComponent1/image.img.4col.large.jpg/1663917770089/teaser-1-fairphone.jpg" TargetMode="External"/><Relationship Id="rId4" Type="http://schemas.openxmlformats.org/officeDocument/2006/relationships/hyperlink" Target="https://www.fairphone.com/wp-content/uploads/2024/06/Fairphone-2023-Impact-Report-.pdf" TargetMode="External"/><Relationship Id="rId9" Type="http://schemas.openxmlformats.org/officeDocument/2006/relationships/hyperlink" Target="https://www.fairphone.com/wp-content/uploads/2024/06/Fairphone-2023-Impact-Report-.pdf" TargetMode="External"/><Relationship Id="rId1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s://www.samsung.com/global/sustainability/policy-file/AYVhR1k6BicAIx95/LCA%20Results%20for%20Smartphones.pdf" TargetMode="External"/><Relationship Id="rId7" Type="http://schemas.openxmlformats.org/officeDocument/2006/relationships/printerSettings" Target="../printerSettings/printerSettings3.bin"/><Relationship Id="rId12" Type="http://schemas.openxmlformats.org/officeDocument/2006/relationships/table" Target="../tables/table7.xml"/><Relationship Id="rId2" Type="http://schemas.openxmlformats.org/officeDocument/2006/relationships/hyperlink" Target="https://www.samsung.com/global/sustainability/policy-file/AYVhR1k6BicAIx95/LCA%20Results%20for%20Smartphones.pdf" TargetMode="External"/><Relationship Id="rId1" Type="http://schemas.openxmlformats.org/officeDocument/2006/relationships/hyperlink" Target="https://www.samsung.com/global/sustainability/policy-file/AYVhR1k6BicAIx95/LCA%20Results%20for%20Smartphones.pdf" TargetMode="External"/><Relationship Id="rId6" Type="http://schemas.openxmlformats.org/officeDocument/2006/relationships/hyperlink" Target="https://www.samsung.com/sg/support/mobile-devices/galaxy-phone-battery-replacement-pricing/" TargetMode="External"/><Relationship Id="rId11" Type="http://schemas.openxmlformats.org/officeDocument/2006/relationships/table" Target="../tables/table6.xml"/><Relationship Id="rId5" Type="http://schemas.openxmlformats.org/officeDocument/2006/relationships/hyperlink" Target="https://www.samsung.com/global/sustainability/policy-file/AYVhR1k6BicAIx95/LCA%20Results%20for%20Smartphones.pdf" TargetMode="External"/><Relationship Id="rId10" Type="http://schemas.openxmlformats.org/officeDocument/2006/relationships/table" Target="../tables/table5.xml"/><Relationship Id="rId4" Type="http://schemas.openxmlformats.org/officeDocument/2006/relationships/hyperlink" Target="https://www.samsung.com/global/sustainability/policy-file/AYVhR1k6BicAIx95/LCA%20Results%20for%20Smartphones.pdf" TargetMode="External"/><Relationship Id="rId9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3.xml"/><Relationship Id="rId3" Type="http://schemas.openxmlformats.org/officeDocument/2006/relationships/hyperlink" Target="https://www.apple.com/environment/pdf/products/iphone/iPhone_SE_PER_March2022.pdf" TargetMode="External"/><Relationship Id="rId7" Type="http://schemas.openxmlformats.org/officeDocument/2006/relationships/printerSettings" Target="../printerSettings/printerSettings4.bin"/><Relationship Id="rId12" Type="http://schemas.openxmlformats.org/officeDocument/2006/relationships/table" Target="../tables/table10.xml"/><Relationship Id="rId2" Type="http://schemas.openxmlformats.org/officeDocument/2006/relationships/hyperlink" Target="https://www.apple.com/environment/pdf/products/iphone/iPhone_SE_PER_March2022.pdf" TargetMode="External"/><Relationship Id="rId1" Type="http://schemas.openxmlformats.org/officeDocument/2006/relationships/hyperlink" Target="https://support.apple.com/en-ie/iphone/repair/battery-replacement" TargetMode="External"/><Relationship Id="rId6" Type="http://schemas.openxmlformats.org/officeDocument/2006/relationships/hyperlink" Target="https://www.apple.com/environment/pdf/products/iphone/iPhone_SE_PER_March2022.pdf" TargetMode="External"/><Relationship Id="rId11" Type="http://schemas.openxmlformats.org/officeDocument/2006/relationships/table" Target="../tables/table9.xml"/><Relationship Id="rId5" Type="http://schemas.openxmlformats.org/officeDocument/2006/relationships/hyperlink" Target="https://www.apple.com/environment/pdf/products/iphone/iPhone_SE_PER_March2022.pdf" TargetMode="External"/><Relationship Id="rId10" Type="http://schemas.openxmlformats.org/officeDocument/2006/relationships/table" Target="../tables/table8.xml"/><Relationship Id="rId4" Type="http://schemas.openxmlformats.org/officeDocument/2006/relationships/hyperlink" Target="https://www.apple.com/environment/pdf/products/iphone/iPhone_SE_PER_March2022.pdf" TargetMode="External"/><Relationship Id="rId9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B20"/>
  <sheetViews>
    <sheetView tabSelected="1" zoomScaleNormal="100" workbookViewId="0">
      <selection activeCell="B29" sqref="B29"/>
    </sheetView>
  </sheetViews>
  <sheetFormatPr defaultColWidth="9.1796875" defaultRowHeight="14.5" x14ac:dyDescent="0.35"/>
  <cols>
    <col min="1" max="1" width="35.1796875" style="1" customWidth="1"/>
    <col min="2" max="2" width="21.453125" style="1" customWidth="1"/>
    <col min="3" max="8" width="9.81640625" style="1" customWidth="1"/>
    <col min="9" max="16384" width="9.1796875" style="1"/>
  </cols>
  <sheetData>
    <row r="1" spans="1:2" x14ac:dyDescent="0.35">
      <c r="A1" s="1" t="s">
        <v>7</v>
      </c>
      <c r="B1" s="1" t="s">
        <v>10</v>
      </c>
    </row>
    <row r="2" spans="1:2" x14ac:dyDescent="0.35">
      <c r="A2" s="1" t="s">
        <v>8</v>
      </c>
      <c r="B2" s="13">
        <v>0.1</v>
      </c>
    </row>
    <row r="3" spans="1:2" x14ac:dyDescent="0.35">
      <c r="A3" s="1" t="s">
        <v>9</v>
      </c>
      <c r="B3" s="14">
        <v>3</v>
      </c>
    </row>
    <row r="7" spans="1:2" x14ac:dyDescent="0.35">
      <c r="A7" s="1" t="str">
        <f>IF(B2="","* Vul een waarde in voor het % schermherstellingen","* In het scenario waarbij een smartphone slechts één jaar gebruikt zal worden, is de aanname dat een scherm niet hersteld wordt - Voor de berekening van de CO2-impact is de aanname dat een schermherstelling altijd gelijk staat aan een schermvervanging")</f>
        <v>* In het scenario waarbij een smartphone slechts één jaar gebruikt zal worden, is de aanname dat een scherm niet hersteld wordt - Voor de berekening van de CO2-impact is de aanname dat een schermherstelling altijd gelijk staat aan een schermvervanging</v>
      </c>
    </row>
    <row r="8" spans="1:2" x14ac:dyDescent="0.35">
      <c r="A8" s="1" t="str">
        <f>IF(B3="","** Vul een waarde in voor de geschatte levensduur van de batterij","** Voor de berekeningen wordt ervan uit gegaan dat een batterij niet vervangen wordt wanneer de telefoon bijna aan vervanging toe is. Bv. Bij een telefoon die (slechts)  " &amp; B3 &amp; " jaar moet mee gaan, zal de batterij niet vervangen worden op het einde van het  " &amp; B3 &amp; "e jaar")</f>
        <v>** Voor de berekeningen wordt ervan uit gegaan dat een batterij niet vervangen wordt wanneer de telefoon bijna aan vervanging toe is. Bv. Bij een telefoon die (slechts)  3 jaar moet mee gaan, zal de batterij niet vervangen worden op het einde van het  3e jaar</v>
      </c>
    </row>
    <row r="12" spans="1:2" x14ac:dyDescent="0.35">
      <c r="A12" s="12" t="s">
        <v>63</v>
      </c>
    </row>
    <row r="14" spans="1:2" x14ac:dyDescent="0.35">
      <c r="A14" s="12" t="s">
        <v>59</v>
      </c>
    </row>
    <row r="15" spans="1:2" x14ac:dyDescent="0.35">
      <c r="A15" s="12" t="s">
        <v>62</v>
      </c>
    </row>
    <row r="16" spans="1:2" x14ac:dyDescent="0.35">
      <c r="A16" s="12"/>
    </row>
    <row r="17" spans="1:1" x14ac:dyDescent="0.35">
      <c r="A17" s="12" t="s">
        <v>64</v>
      </c>
    </row>
    <row r="18" spans="1:1" x14ac:dyDescent="0.35">
      <c r="A18" s="12" t="s">
        <v>60</v>
      </c>
    </row>
    <row r="20" spans="1:1" x14ac:dyDescent="0.35">
      <c r="A20" s="12" t="s">
        <v>61</v>
      </c>
    </row>
  </sheetData>
  <sheetProtection sheet="1" objects="1" scenarios="1"/>
  <protectedRanges>
    <protectedRange sqref="B2:B3" name="Assumpties"/>
  </protectedRanges>
  <pageMargins left="0.70866141732283472" right="0.70866141732283472" top="0.74803149606299213" bottom="0.94488188976377963" header="0.31496062992125984" footer="0.31496062992125984"/>
  <pageSetup paperSize="9" orientation="portrait" r:id="rId1"/>
  <headerFooter>
    <oddFooter>&amp;L&amp;8pagina &amp;P van &amp;N&amp;C&amp;8&amp;F - &amp;A&amp;R&amp;8&amp;D</oddFooter>
    <firstHeader xml:space="preserve">&amp;L
</firstHeader>
    <firstFooter>&amp;C&amp;9&amp;F - &amp;A&amp;R&amp;9pagina &amp;P van &amp;N</first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F898D-72BC-4274-B81D-C2C3F7623270}">
  <sheetPr codeName="Blad2"/>
  <dimension ref="A1:G38"/>
  <sheetViews>
    <sheetView zoomScaleNormal="100" workbookViewId="0">
      <selection activeCell="B2" sqref="B2"/>
    </sheetView>
  </sheetViews>
  <sheetFormatPr defaultColWidth="9.1796875" defaultRowHeight="14.5" x14ac:dyDescent="0.35"/>
  <cols>
    <col min="1" max="1" width="37" style="1" customWidth="1"/>
    <col min="2" max="2" width="19.453125" style="1" customWidth="1"/>
    <col min="3" max="3" width="28.54296875" style="1" customWidth="1"/>
    <col min="4" max="5" width="19.453125" style="1" customWidth="1"/>
    <col min="6" max="6" width="20.453125" style="1" bestFit="1" customWidth="1"/>
    <col min="7" max="7" width="20.453125" style="1" customWidth="1"/>
    <col min="8" max="16384" width="9.1796875" style="1"/>
  </cols>
  <sheetData>
    <row r="1" spans="1:3" x14ac:dyDescent="0.35">
      <c r="A1" s="1" t="s">
        <v>11</v>
      </c>
      <c r="B1" s="1" t="s">
        <v>3</v>
      </c>
      <c r="C1" s="1" t="s">
        <v>12</v>
      </c>
    </row>
    <row r="2" spans="1:3" x14ac:dyDescent="0.35">
      <c r="A2" s="1" t="s">
        <v>13</v>
      </c>
      <c r="B2" s="15" t="s">
        <v>58</v>
      </c>
      <c r="C2" s="16"/>
    </row>
    <row r="3" spans="1:3" x14ac:dyDescent="0.35">
      <c r="A3" s="1" t="s">
        <v>14</v>
      </c>
      <c r="B3" s="17">
        <v>3</v>
      </c>
      <c r="C3" s="18" t="s">
        <v>2</v>
      </c>
    </row>
    <row r="4" spans="1:3" x14ac:dyDescent="0.35">
      <c r="A4" s="1" t="s">
        <v>15</v>
      </c>
      <c r="B4" s="19">
        <f>SUM(B5:B8)</f>
        <v>42.14</v>
      </c>
      <c r="C4" s="18" t="s">
        <v>2</v>
      </c>
    </row>
    <row r="5" spans="1:3" x14ac:dyDescent="0.35">
      <c r="A5" s="1" t="s">
        <v>16</v>
      </c>
      <c r="B5" s="19">
        <v>32.700000000000003</v>
      </c>
      <c r="C5" s="18" t="s">
        <v>2</v>
      </c>
    </row>
    <row r="6" spans="1:3" x14ac:dyDescent="0.35">
      <c r="A6" s="1" t="s">
        <v>17</v>
      </c>
      <c r="B6" s="19">
        <v>2.8</v>
      </c>
      <c r="C6" s="18" t="s">
        <v>2</v>
      </c>
    </row>
    <row r="7" spans="1:3" x14ac:dyDescent="0.35">
      <c r="A7" s="1" t="s">
        <v>18</v>
      </c>
      <c r="B7" s="19">
        <v>6.6</v>
      </c>
      <c r="C7" s="18" t="s">
        <v>2</v>
      </c>
    </row>
    <row r="8" spans="1:3" x14ac:dyDescent="0.35">
      <c r="A8" s="1" t="s">
        <v>19</v>
      </c>
      <c r="B8" s="19">
        <v>0.04</v>
      </c>
      <c r="C8" s="18" t="s">
        <v>2</v>
      </c>
    </row>
    <row r="9" spans="1:3" x14ac:dyDescent="0.35">
      <c r="A9" s="1" t="s">
        <v>20</v>
      </c>
      <c r="B9" s="19">
        <v>3.7</v>
      </c>
      <c r="C9" s="18" t="s">
        <v>2</v>
      </c>
    </row>
    <row r="10" spans="1:3" x14ac:dyDescent="0.35">
      <c r="A10" s="1" t="s">
        <v>21</v>
      </c>
      <c r="B10" s="19">
        <f>B4*5/100</f>
        <v>2.1069999999999998</v>
      </c>
      <c r="C10" s="18" t="s">
        <v>40</v>
      </c>
    </row>
    <row r="11" spans="1:3" x14ac:dyDescent="0.35">
      <c r="A11" s="1" t="s">
        <v>22</v>
      </c>
      <c r="B11" s="20">
        <v>715.15</v>
      </c>
      <c r="C11" s="21" t="s">
        <v>36</v>
      </c>
    </row>
    <row r="12" spans="1:3" x14ac:dyDescent="0.35">
      <c r="A12" s="1" t="s">
        <v>23</v>
      </c>
      <c r="B12" s="20"/>
      <c r="C12" s="16"/>
    </row>
    <row r="13" spans="1:3" x14ac:dyDescent="0.35">
      <c r="A13" s="1" t="s">
        <v>24</v>
      </c>
      <c r="B13" s="20"/>
      <c r="C13" s="16"/>
    </row>
    <row r="14" spans="1:3" x14ac:dyDescent="0.35">
      <c r="A14" s="1" t="s">
        <v>28</v>
      </c>
      <c r="B14" s="20">
        <v>39.950000000000003</v>
      </c>
      <c r="C14" s="18" t="s">
        <v>41</v>
      </c>
    </row>
    <row r="15" spans="1:3" x14ac:dyDescent="0.35">
      <c r="A15" s="1" t="s">
        <v>25</v>
      </c>
      <c r="B15" s="20">
        <v>99.95</v>
      </c>
      <c r="C15" s="18" t="s">
        <v>41</v>
      </c>
    </row>
    <row r="19" spans="1:7" customFormat="1" ht="29" x14ac:dyDescent="0.35">
      <c r="A19" t="s">
        <v>26</v>
      </c>
      <c r="B19" s="4" t="s">
        <v>27</v>
      </c>
      <c r="C19" s="4" t="s">
        <v>28</v>
      </c>
      <c r="D19" s="4" t="s">
        <v>25</v>
      </c>
      <c r="E19" s="4" t="s">
        <v>29</v>
      </c>
      <c r="F19" s="4" t="s">
        <v>30</v>
      </c>
    </row>
    <row r="20" spans="1:7" x14ac:dyDescent="0.35">
      <c r="A20" s="10">
        <v>1</v>
      </c>
      <c r="B20" s="3">
        <f t="shared" ref="B20:B26" si="0">SUM(B$11:B$13)</f>
        <v>715.15</v>
      </c>
      <c r="C20" s="3">
        <f>ROUNDDOWN((tblTCOPhone1[[#This Row],[Aantal jaar gebruik (ambitie)]]-1)/Aannames!B$3,0)*B$14</f>
        <v>0</v>
      </c>
      <c r="D20" s="3">
        <f>IF(tblTCOPhone1[[#This Row],[Aantal jaar gebruik (ambitie)]]=1,0,tblTCOPhone1[[#This Row],[Aantal jaar gebruik (ambitie)]]*Aannames!B$2)*B$15</f>
        <v>0</v>
      </c>
      <c r="E20" s="3">
        <f>SUM(tblTCOPhone1[[#This Row],[Aankoopkost]:[Kost schermherstelling]])</f>
        <v>715.15</v>
      </c>
      <c r="F20" s="3">
        <f>tblTCOPhone1[[#This Row],[Totale kost]]/tblTCOPhone1[[#This Row],[Aantal jaar gebruik (ambitie)]]</f>
        <v>715.15</v>
      </c>
    </row>
    <row r="21" spans="1:7" x14ac:dyDescent="0.35">
      <c r="A21" s="10">
        <v>2</v>
      </c>
      <c r="B21" s="3">
        <f t="shared" si="0"/>
        <v>715.15</v>
      </c>
      <c r="C21" s="3">
        <f>ROUNDDOWN((tblTCOPhone1[[#This Row],[Aantal jaar gebruik (ambitie)]]-1)/Aannames!B$3,0)*B$14</f>
        <v>0</v>
      </c>
      <c r="D21" s="3">
        <f>IF(tblTCOPhone1[[#This Row],[Aantal jaar gebruik (ambitie)]]=1,0,tblTCOPhone1[[#This Row],[Aantal jaar gebruik (ambitie)]]*Aannames!B$2)*B$15</f>
        <v>19.990000000000002</v>
      </c>
      <c r="E21" s="3">
        <f>SUM(tblTCOPhone1[[#This Row],[Aankoopkost]:[Kost schermherstelling]])</f>
        <v>735.14</v>
      </c>
      <c r="F21" s="3">
        <f>tblTCOPhone1[[#This Row],[Totale kost]]/tblTCOPhone1[[#This Row],[Aantal jaar gebruik (ambitie)]]</f>
        <v>367.57</v>
      </c>
    </row>
    <row r="22" spans="1:7" x14ac:dyDescent="0.35">
      <c r="A22" s="10">
        <v>3</v>
      </c>
      <c r="B22" s="3">
        <f t="shared" si="0"/>
        <v>715.15</v>
      </c>
      <c r="C22" s="3">
        <f>ROUNDDOWN((tblTCOPhone1[[#This Row],[Aantal jaar gebruik (ambitie)]]-1)/Aannames!B$3,0)*B$14</f>
        <v>0</v>
      </c>
      <c r="D22" s="3">
        <f>IF(tblTCOPhone1[[#This Row],[Aantal jaar gebruik (ambitie)]]=1,0,tblTCOPhone1[[#This Row],[Aantal jaar gebruik (ambitie)]]*Aannames!B$2)*B$15</f>
        <v>29.985000000000007</v>
      </c>
      <c r="E22" s="3">
        <f>SUM(tblTCOPhone1[[#This Row],[Aankoopkost]:[Kost schermherstelling]])</f>
        <v>745.13499999999999</v>
      </c>
      <c r="F22" s="3">
        <f>tblTCOPhone1[[#This Row],[Totale kost]]/tblTCOPhone1[[#This Row],[Aantal jaar gebruik (ambitie)]]</f>
        <v>248.37833333333333</v>
      </c>
    </row>
    <row r="23" spans="1:7" x14ac:dyDescent="0.35">
      <c r="A23" s="10">
        <v>4</v>
      </c>
      <c r="B23" s="3">
        <f t="shared" si="0"/>
        <v>715.15</v>
      </c>
      <c r="C23" s="3">
        <f>ROUNDDOWN((tblTCOPhone1[[#This Row],[Aantal jaar gebruik (ambitie)]]-1)/Aannames!B$3,0)*B$14</f>
        <v>39.950000000000003</v>
      </c>
      <c r="D23" s="3">
        <f>IF(tblTCOPhone1[[#This Row],[Aantal jaar gebruik (ambitie)]]=1,0,tblTCOPhone1[[#This Row],[Aantal jaar gebruik (ambitie)]]*Aannames!B$2)*B$15</f>
        <v>39.980000000000004</v>
      </c>
      <c r="E23" s="3">
        <f>SUM(tblTCOPhone1[[#This Row],[Aankoopkost]:[Kost schermherstelling]])</f>
        <v>795.08</v>
      </c>
      <c r="F23" s="3">
        <f>tblTCOPhone1[[#This Row],[Totale kost]]/tblTCOPhone1[[#This Row],[Aantal jaar gebruik (ambitie)]]</f>
        <v>198.77</v>
      </c>
    </row>
    <row r="24" spans="1:7" x14ac:dyDescent="0.35">
      <c r="A24" s="10">
        <v>5</v>
      </c>
      <c r="B24" s="3">
        <f t="shared" si="0"/>
        <v>715.15</v>
      </c>
      <c r="C24" s="3">
        <f>ROUNDDOWN((tblTCOPhone1[[#This Row],[Aantal jaar gebruik (ambitie)]]-1)/Aannames!B$3,0)*B$14</f>
        <v>39.950000000000003</v>
      </c>
      <c r="D24" s="3">
        <f>IF(tblTCOPhone1[[#This Row],[Aantal jaar gebruik (ambitie)]]=1,0,tblTCOPhone1[[#This Row],[Aantal jaar gebruik (ambitie)]]*Aannames!B$2)*B$15</f>
        <v>49.975000000000001</v>
      </c>
      <c r="E24" s="3">
        <f>SUM(tblTCOPhone1[[#This Row],[Aankoopkost]:[Kost schermherstelling]])</f>
        <v>805.07500000000005</v>
      </c>
      <c r="F24" s="3">
        <f>tblTCOPhone1[[#This Row],[Totale kost]]/tblTCOPhone1[[#This Row],[Aantal jaar gebruik (ambitie)]]</f>
        <v>161.01500000000001</v>
      </c>
    </row>
    <row r="25" spans="1:7" x14ac:dyDescent="0.35">
      <c r="A25" s="10">
        <v>6</v>
      </c>
      <c r="B25" s="3">
        <f t="shared" si="0"/>
        <v>715.15</v>
      </c>
      <c r="C25" s="3">
        <f>ROUNDDOWN((tblTCOPhone1[[#This Row],[Aantal jaar gebruik (ambitie)]]-1)/Aannames!B$3,0)*B$14</f>
        <v>39.950000000000003</v>
      </c>
      <c r="D25" s="3">
        <f>IF(tblTCOPhone1[[#This Row],[Aantal jaar gebruik (ambitie)]]=1,0,tblTCOPhone1[[#This Row],[Aantal jaar gebruik (ambitie)]]*Aannames!B$2)*B$15</f>
        <v>59.970000000000013</v>
      </c>
      <c r="E25" s="3">
        <f>SUM(tblTCOPhone1[[#This Row],[Aankoopkost]:[Kost schermherstelling]])</f>
        <v>815.07</v>
      </c>
      <c r="F25" s="3">
        <f>tblTCOPhone1[[#This Row],[Totale kost]]/tblTCOPhone1[[#This Row],[Aantal jaar gebruik (ambitie)]]</f>
        <v>135.845</v>
      </c>
    </row>
    <row r="26" spans="1:7" x14ac:dyDescent="0.35">
      <c r="A26" s="10">
        <v>7</v>
      </c>
      <c r="B26" s="3">
        <f t="shared" si="0"/>
        <v>715.15</v>
      </c>
      <c r="C26" s="3">
        <f>ROUNDDOWN((tblTCOPhone1[[#This Row],[Aantal jaar gebruik (ambitie)]]-1)/Aannames!B$3,0)*B$14</f>
        <v>79.900000000000006</v>
      </c>
      <c r="D26" s="3">
        <f>IF(tblTCOPhone1[[#This Row],[Aantal jaar gebruik (ambitie)]]=1,0,tblTCOPhone1[[#This Row],[Aantal jaar gebruik (ambitie)]]*Aannames!B$2)*B$15</f>
        <v>69.965000000000003</v>
      </c>
      <c r="E26" s="3">
        <f>SUM(tblTCOPhone1[[#This Row],[Aankoopkost]:[Kost schermherstelling]])</f>
        <v>865.01499999999999</v>
      </c>
      <c r="F26" s="3">
        <f>tblTCOPhone1[[#This Row],[Totale kost]]/tblTCOPhone1[[#This Row],[Aantal jaar gebruik (ambitie)]]</f>
        <v>123.57357142857143</v>
      </c>
    </row>
    <row r="30" spans="1:7" customFormat="1" ht="43.5" x14ac:dyDescent="0.35">
      <c r="A30" t="s">
        <v>26</v>
      </c>
      <c r="B30" s="4" t="s">
        <v>31</v>
      </c>
      <c r="C30" s="4" t="s">
        <v>32</v>
      </c>
      <c r="D30" s="4" t="s">
        <v>33</v>
      </c>
      <c r="E30" s="4" t="s">
        <v>34</v>
      </c>
      <c r="F30" s="4" t="s">
        <v>1</v>
      </c>
      <c r="G30" s="4" t="s">
        <v>35</v>
      </c>
    </row>
    <row r="31" spans="1:7" x14ac:dyDescent="0.35">
      <c r="A31" s="10">
        <v>1</v>
      </c>
      <c r="B31" s="5">
        <f t="shared" ref="B31:B37" si="1">SUM(B$5,B$6,B$8)</f>
        <v>35.54</v>
      </c>
      <c r="C31" s="5">
        <f>(B$7/B$3)*tblCO2Phone1[[#This Row],[Aantal jaar gebruik (ambitie)]]</f>
        <v>2.1999999999999997</v>
      </c>
      <c r="D31" s="5">
        <f>ROUNDDOWN((tblCO2Phone1[[#This Row],[Aantal jaar gebruik (ambitie)]]-1)/Aannames!B$3,0)*B$9</f>
        <v>0</v>
      </c>
      <c r="E31" s="5">
        <f>IF(tblCO2Phone1[[#This Row],[Aantal jaar gebruik (ambitie)]]=1,0,tblCO2Phone1[[#This Row],[Aantal jaar gebruik (ambitie)]]*Aannames!B$2)*B$10</f>
        <v>0</v>
      </c>
      <c r="F31" s="5">
        <f>SUM(tblCO2Phone1[[#This Row],[CO2 productie, transport en End-of-Life]:[CO2 schermherstelling]])</f>
        <v>37.74</v>
      </c>
      <c r="G31" s="5">
        <f>tblCO2Phone1[[#This Row],[CO2 totaal*]]/tblCO2Phone1[[#This Row],[Aantal jaar gebruik (ambitie)]]</f>
        <v>37.74</v>
      </c>
    </row>
    <row r="32" spans="1:7" x14ac:dyDescent="0.35">
      <c r="A32" s="10">
        <v>2</v>
      </c>
      <c r="B32" s="5">
        <f t="shared" si="1"/>
        <v>35.54</v>
      </c>
      <c r="C32" s="5">
        <f>(B$7/B$3)*tblCO2Phone1[[#This Row],[Aantal jaar gebruik (ambitie)]]</f>
        <v>4.3999999999999995</v>
      </c>
      <c r="D32" s="5">
        <f>ROUNDDOWN((tblCO2Phone1[[#This Row],[Aantal jaar gebruik (ambitie)]]-1)/Aannames!B$3,0)*B$9</f>
        <v>0</v>
      </c>
      <c r="E32" s="5">
        <f>IF(tblCO2Phone1[[#This Row],[Aantal jaar gebruik (ambitie)]]=1,0,tblCO2Phone1[[#This Row],[Aantal jaar gebruik (ambitie)]]*Aannames!B$2)*B$10</f>
        <v>0.4214</v>
      </c>
      <c r="F32" s="5">
        <f>SUM(tblCO2Phone1[[#This Row],[CO2 productie, transport en End-of-Life]:[CO2 schermherstelling]])</f>
        <v>40.361399999999996</v>
      </c>
      <c r="G32" s="5">
        <f>tblCO2Phone1[[#This Row],[CO2 totaal*]]/tblCO2Phone1[[#This Row],[Aantal jaar gebruik (ambitie)]]</f>
        <v>20.180699999999998</v>
      </c>
    </row>
    <row r="33" spans="1:7" x14ac:dyDescent="0.35">
      <c r="A33" s="10">
        <v>3</v>
      </c>
      <c r="B33" s="5">
        <f t="shared" si="1"/>
        <v>35.54</v>
      </c>
      <c r="C33" s="5">
        <f>(B$7/B$3)*tblCO2Phone1[[#This Row],[Aantal jaar gebruik (ambitie)]]</f>
        <v>6.6</v>
      </c>
      <c r="D33" s="5">
        <f>ROUNDDOWN((tblCO2Phone1[[#This Row],[Aantal jaar gebruik (ambitie)]]-1)/Aannames!B$3,0)*B$9</f>
        <v>0</v>
      </c>
      <c r="E33" s="5">
        <f>IF(tblCO2Phone1[[#This Row],[Aantal jaar gebruik (ambitie)]]=1,0,tblCO2Phone1[[#This Row],[Aantal jaar gebruik (ambitie)]]*Aannames!B$2)*B$10</f>
        <v>0.6321</v>
      </c>
      <c r="F33" s="5">
        <f>SUM(tblCO2Phone1[[#This Row],[CO2 productie, transport en End-of-Life]:[CO2 schermherstelling]])</f>
        <v>42.772100000000002</v>
      </c>
      <c r="G33" s="5">
        <f>tblCO2Phone1[[#This Row],[CO2 totaal*]]/tblCO2Phone1[[#This Row],[Aantal jaar gebruik (ambitie)]]</f>
        <v>14.257366666666668</v>
      </c>
    </row>
    <row r="34" spans="1:7" x14ac:dyDescent="0.35">
      <c r="A34" s="10">
        <v>4</v>
      </c>
      <c r="B34" s="5">
        <f t="shared" si="1"/>
        <v>35.54</v>
      </c>
      <c r="C34" s="5">
        <f>(B$7/B$3)*tblCO2Phone1[[#This Row],[Aantal jaar gebruik (ambitie)]]</f>
        <v>8.7999999999999989</v>
      </c>
      <c r="D34" s="5">
        <f>ROUNDDOWN((tblCO2Phone1[[#This Row],[Aantal jaar gebruik (ambitie)]]-1)/Aannames!B$3,0)*B$9</f>
        <v>3.7</v>
      </c>
      <c r="E34" s="5">
        <f>IF(tblCO2Phone1[[#This Row],[Aantal jaar gebruik (ambitie)]]=1,0,tblCO2Phone1[[#This Row],[Aantal jaar gebruik (ambitie)]]*Aannames!B$2)*B$10</f>
        <v>0.84279999999999999</v>
      </c>
      <c r="F34" s="5">
        <f>SUM(tblCO2Phone1[[#This Row],[CO2 productie, transport en End-of-Life]:[CO2 schermherstelling]])</f>
        <v>48.882799999999996</v>
      </c>
      <c r="G34" s="5">
        <f>tblCO2Phone1[[#This Row],[CO2 totaal*]]/tblCO2Phone1[[#This Row],[Aantal jaar gebruik (ambitie)]]</f>
        <v>12.220699999999999</v>
      </c>
    </row>
    <row r="35" spans="1:7" x14ac:dyDescent="0.35">
      <c r="A35" s="10">
        <v>5</v>
      </c>
      <c r="B35" s="5">
        <f t="shared" si="1"/>
        <v>35.54</v>
      </c>
      <c r="C35" s="5">
        <f>(B$7/B$3)*tblCO2Phone1[[#This Row],[Aantal jaar gebruik (ambitie)]]</f>
        <v>10.999999999999998</v>
      </c>
      <c r="D35" s="5">
        <f>ROUNDDOWN((tblCO2Phone1[[#This Row],[Aantal jaar gebruik (ambitie)]]-1)/Aannames!B$3,0)*B$9</f>
        <v>3.7</v>
      </c>
      <c r="E35" s="5">
        <f>IF(tblCO2Phone1[[#This Row],[Aantal jaar gebruik (ambitie)]]=1,0,tblCO2Phone1[[#This Row],[Aantal jaar gebruik (ambitie)]]*Aannames!B$2)*B$10</f>
        <v>1.0534999999999999</v>
      </c>
      <c r="F35" s="5">
        <f>SUM(tblCO2Phone1[[#This Row],[CO2 productie, transport en End-of-Life]:[CO2 schermherstelling]])</f>
        <v>51.293500000000002</v>
      </c>
      <c r="G35" s="5">
        <f>tblCO2Phone1[[#This Row],[CO2 totaal*]]/tblCO2Phone1[[#This Row],[Aantal jaar gebruik (ambitie)]]</f>
        <v>10.258700000000001</v>
      </c>
    </row>
    <row r="36" spans="1:7" x14ac:dyDescent="0.35">
      <c r="A36" s="10">
        <v>6</v>
      </c>
      <c r="B36" s="5">
        <f t="shared" si="1"/>
        <v>35.54</v>
      </c>
      <c r="C36" s="5">
        <f>(B$7/B$3)*tblCO2Phone1[[#This Row],[Aantal jaar gebruik (ambitie)]]</f>
        <v>13.2</v>
      </c>
      <c r="D36" s="5">
        <f>ROUNDDOWN((tblCO2Phone1[[#This Row],[Aantal jaar gebruik (ambitie)]]-1)/Aannames!B$3,0)*B$9</f>
        <v>3.7</v>
      </c>
      <c r="E36" s="5">
        <f>IF(tblCO2Phone1[[#This Row],[Aantal jaar gebruik (ambitie)]]=1,0,tblCO2Phone1[[#This Row],[Aantal jaar gebruik (ambitie)]]*Aannames!B$2)*B$10</f>
        <v>1.2642</v>
      </c>
      <c r="F36" s="5">
        <f>SUM(tblCO2Phone1[[#This Row],[CO2 productie, transport en End-of-Life]:[CO2 schermherstelling]])</f>
        <v>53.7042</v>
      </c>
      <c r="G36" s="5">
        <f>tblCO2Phone1[[#This Row],[CO2 totaal*]]/tblCO2Phone1[[#This Row],[Aantal jaar gebruik (ambitie)]]</f>
        <v>8.9506999999999994</v>
      </c>
    </row>
    <row r="37" spans="1:7" x14ac:dyDescent="0.35">
      <c r="A37" s="10">
        <v>7</v>
      </c>
      <c r="B37" s="5">
        <f t="shared" si="1"/>
        <v>35.54</v>
      </c>
      <c r="C37" s="5">
        <f>(B$7/B$3)*tblCO2Phone1[[#This Row],[Aantal jaar gebruik (ambitie)]]</f>
        <v>15.399999999999999</v>
      </c>
      <c r="D37" s="5">
        <f>ROUNDDOWN((tblCO2Phone1[[#This Row],[Aantal jaar gebruik (ambitie)]]-1)/Aannames!B$3,0)*B$9</f>
        <v>7.4</v>
      </c>
      <c r="E37" s="5">
        <f>IF(tblCO2Phone1[[#This Row],[Aantal jaar gebruik (ambitie)]]=1,0,tblCO2Phone1[[#This Row],[Aantal jaar gebruik (ambitie)]]*Aannames!B$2)*B$10</f>
        <v>1.4748999999999999</v>
      </c>
      <c r="F37" s="5">
        <f>SUM(tblCO2Phone1[[#This Row],[CO2 productie, transport en End-of-Life]:[CO2 schermherstelling]])</f>
        <v>59.814899999999994</v>
      </c>
      <c r="G37" s="5">
        <f>tblCO2Phone1[[#This Row],[CO2 totaal*]]/tblCO2Phone1[[#This Row],[Aantal jaar gebruik (ambitie)]]</f>
        <v>8.5449857142857137</v>
      </c>
    </row>
    <row r="38" spans="1:7" x14ac:dyDescent="0.35">
      <c r="A38" s="1" t="s">
        <v>37</v>
      </c>
    </row>
  </sheetData>
  <sheetProtection sheet="1" objects="1" scenarios="1"/>
  <protectedRanges>
    <protectedRange sqref="B2:C15" name="Phone1"/>
  </protectedRanges>
  <hyperlinks>
    <hyperlink ref="C14" r:id="rId1" display="Fairphone shop - kost zonder werkuren" xr:uid="{DF929FE2-6CFB-4B95-95D0-75B4C9D4FD77}"/>
    <hyperlink ref="C15" r:id="rId2" display="Fairphone shop - kost zonder werkuren" xr:uid="{E8DFCFE4-E64D-44B7-9FA7-EE1460C43B79}"/>
    <hyperlink ref="C4" r:id="rId3" display="https://www.fairphone.com/wp-content/uploads/2024/06/Fairphone-2023-Impact-Report-.pdf" xr:uid="{73A5F51B-3C6B-4631-907E-6772A7CC5E01}"/>
    <hyperlink ref="C5" r:id="rId4" display="https://www.fairphone.com/wp-content/uploads/2024/06/Fairphone-2023-Impact-Report-.pdf" xr:uid="{F8665825-FF5F-4B8D-8B25-A871131D0038}"/>
    <hyperlink ref="C3" r:id="rId5" display="https://www.fairphone.com/wp-content/uploads/2024/06/Fairphone-2023-Impact-Report-.pdf" xr:uid="{78C3BEA7-2DC8-4EAB-BE04-A37BB70E9098}"/>
    <hyperlink ref="C6" r:id="rId6" display="https://www.fairphone.com/wp-content/uploads/2024/06/Fairphone-2023-Impact-Report-.pdf" xr:uid="{B4DF2A76-5273-49BC-A0A8-DD91760D8D1F}"/>
    <hyperlink ref="C7" r:id="rId7" display="https://www.fairphone.com/wp-content/uploads/2024/06/Fairphone-2023-Impact-Report-.pdf" xr:uid="{6662FCE7-0145-4029-967C-4EB95EAC2BA5}"/>
    <hyperlink ref="C8" r:id="rId8" display="https://www.fairphone.com/wp-content/uploads/2024/06/Fairphone-2023-Impact-Report-.pdf" xr:uid="{DD77BB5B-EBB6-45B1-81BF-8C58D41E1DB6}"/>
    <hyperlink ref="C9" r:id="rId9" display="https://www.fairphone.com/wp-content/uploads/2024/06/Fairphone-2023-Impact-Report-.pdf" xr:uid="{197FFF31-9354-4AAE-886B-7053E7A80651}"/>
    <hyperlink ref="C10" r:id="rId10" display="Fairphone 4 - press article on " xr:uid="{B44644FE-5EE1-4068-8958-908A628C793A}"/>
  </hyperlinks>
  <pageMargins left="0.70866141732283472" right="0.70866141732283472" top="0.74803149606299213" bottom="0.92708333333333337" header="0.31496062992125984" footer="0.31496062992125984"/>
  <pageSetup paperSize="9" orientation="portrait" r:id="rId11"/>
  <headerFooter differentFirst="1">
    <oddFooter>&amp;L&amp;G&amp;C&amp;F - &amp;A&amp;Rpagina &amp;P van &amp;N</oddFooter>
    <firstFooter>&amp;C&amp;9&amp;F - &amp;A&amp;R&amp;9pagina &amp;P van &amp;N</firstFooter>
  </headerFooter>
  <drawing r:id="rId12"/>
  <legacyDrawingHF r:id="rId13"/>
  <tableParts count="3">
    <tablePart r:id="rId14"/>
    <tablePart r:id="rId15"/>
    <tablePart r:id="rId1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7F811-0AFD-4C9B-BE8E-DEA51F56A5F1}">
  <sheetPr codeName="Blad3"/>
  <dimension ref="A1:G38"/>
  <sheetViews>
    <sheetView zoomScaleNormal="100" workbookViewId="0">
      <selection activeCell="B2" sqref="B2"/>
    </sheetView>
  </sheetViews>
  <sheetFormatPr defaultColWidth="9.1796875" defaultRowHeight="14.5" x14ac:dyDescent="0.35"/>
  <cols>
    <col min="1" max="1" width="37" style="1" customWidth="1"/>
    <col min="2" max="2" width="19.453125" style="1" customWidth="1"/>
    <col min="3" max="3" width="28.54296875" style="1" customWidth="1"/>
    <col min="4" max="5" width="19.453125" style="1" customWidth="1"/>
    <col min="6" max="6" width="20.453125" style="1" bestFit="1" customWidth="1"/>
    <col min="7" max="7" width="20.453125" style="1" customWidth="1"/>
    <col min="8" max="16384" width="9.1796875" style="1"/>
  </cols>
  <sheetData>
    <row r="1" spans="1:3" x14ac:dyDescent="0.35">
      <c r="A1" s="1" t="s">
        <v>11</v>
      </c>
      <c r="B1" s="1" t="s">
        <v>3</v>
      </c>
      <c r="C1" s="1" t="s">
        <v>12</v>
      </c>
    </row>
    <row r="2" spans="1:3" x14ac:dyDescent="0.35">
      <c r="A2" s="1" t="s">
        <v>13</v>
      </c>
      <c r="B2" s="15" t="s">
        <v>4</v>
      </c>
      <c r="C2" s="22"/>
    </row>
    <row r="3" spans="1:3" x14ac:dyDescent="0.35">
      <c r="A3" s="1" t="s">
        <v>14</v>
      </c>
      <c r="B3" s="17">
        <v>3</v>
      </c>
      <c r="C3" s="21"/>
    </row>
    <row r="4" spans="1:3" x14ac:dyDescent="0.35">
      <c r="A4" s="1" t="s">
        <v>15</v>
      </c>
      <c r="B4" s="19">
        <f>SUM(B5:B8)</f>
        <v>44.7</v>
      </c>
      <c r="C4" s="18" t="s">
        <v>56</v>
      </c>
    </row>
    <row r="5" spans="1:3" x14ac:dyDescent="0.35">
      <c r="A5" s="1" t="s">
        <v>16</v>
      </c>
      <c r="B5" s="19">
        <v>33.9</v>
      </c>
      <c r="C5" s="18" t="s">
        <v>56</v>
      </c>
    </row>
    <row r="6" spans="1:3" x14ac:dyDescent="0.35">
      <c r="A6" s="1" t="s">
        <v>17</v>
      </c>
      <c r="B6" s="19">
        <v>1</v>
      </c>
      <c r="C6" s="18" t="s">
        <v>56</v>
      </c>
    </row>
    <row r="7" spans="1:3" x14ac:dyDescent="0.35">
      <c r="A7" s="1" t="s">
        <v>18</v>
      </c>
      <c r="B7" s="19">
        <v>9.6</v>
      </c>
      <c r="C7" s="18" t="s">
        <v>56</v>
      </c>
    </row>
    <row r="8" spans="1:3" x14ac:dyDescent="0.35">
      <c r="A8" s="1" t="s">
        <v>19</v>
      </c>
      <c r="B8" s="19">
        <v>0.2</v>
      </c>
      <c r="C8" s="18" t="s">
        <v>56</v>
      </c>
    </row>
    <row r="9" spans="1:3" x14ac:dyDescent="0.35">
      <c r="A9" s="1" t="s">
        <v>38</v>
      </c>
      <c r="B9" s="23">
        <v>0.09</v>
      </c>
      <c r="C9" s="21" t="s">
        <v>42</v>
      </c>
    </row>
    <row r="10" spans="1:3" x14ac:dyDescent="0.35">
      <c r="A10" s="1" t="s">
        <v>39</v>
      </c>
      <c r="B10" s="23">
        <v>0.105</v>
      </c>
      <c r="C10" s="21" t="s">
        <v>42</v>
      </c>
    </row>
    <row r="11" spans="1:3" x14ac:dyDescent="0.35">
      <c r="A11" s="1" t="s">
        <v>22</v>
      </c>
      <c r="B11" s="20">
        <v>441.9</v>
      </c>
      <c r="C11" s="21" t="s">
        <v>36</v>
      </c>
    </row>
    <row r="12" spans="1:3" x14ac:dyDescent="0.35">
      <c r="A12" s="1" t="s">
        <v>23</v>
      </c>
      <c r="B12" s="20"/>
      <c r="C12" s="22"/>
    </row>
    <row r="13" spans="1:3" x14ac:dyDescent="0.35">
      <c r="A13" s="1" t="s">
        <v>24</v>
      </c>
      <c r="B13" s="20"/>
      <c r="C13" s="22"/>
    </row>
    <row r="14" spans="1:3" x14ac:dyDescent="0.35">
      <c r="A14" s="1" t="s">
        <v>28</v>
      </c>
      <c r="B14" s="20">
        <v>75</v>
      </c>
      <c r="C14" s="18" t="s">
        <v>43</v>
      </c>
    </row>
    <row r="15" spans="1:3" x14ac:dyDescent="0.35">
      <c r="A15" s="1" t="s">
        <v>25</v>
      </c>
      <c r="B15" s="20">
        <v>263.63</v>
      </c>
      <c r="C15" s="21" t="s">
        <v>0</v>
      </c>
    </row>
    <row r="19" spans="1:7" customFormat="1" ht="29" x14ac:dyDescent="0.35">
      <c r="A19" t="s">
        <v>26</v>
      </c>
      <c r="B19" s="4" t="s">
        <v>27</v>
      </c>
      <c r="C19" s="4" t="s">
        <v>28</v>
      </c>
      <c r="D19" s="4" t="s">
        <v>25</v>
      </c>
      <c r="E19" s="4" t="s">
        <v>29</v>
      </c>
      <c r="F19" s="4" t="s">
        <v>30</v>
      </c>
    </row>
    <row r="20" spans="1:7" x14ac:dyDescent="0.35">
      <c r="A20" s="10">
        <v>1</v>
      </c>
      <c r="B20" s="3">
        <f t="shared" ref="B20:B26" si="0">SUM(B$11:B$13)</f>
        <v>441.9</v>
      </c>
      <c r="C20" s="3">
        <f>ROUNDDOWN((tblTCOPhone2[[#This Row],[Aantal jaar gebruik (ambitie)]]-1)/Aannames!B$3,0)*B$14</f>
        <v>0</v>
      </c>
      <c r="D20" s="3">
        <f>IF(tblTCOPhone2[[#This Row],[Aantal jaar gebruik (ambitie)]]=1,0,tblTCOPhone2[[#This Row],[Aantal jaar gebruik (ambitie)]]*Aannames!B$2)*B$15</f>
        <v>0</v>
      </c>
      <c r="E20" s="3">
        <f>SUM(tblTCOPhone2[[#This Row],[Aankoopkost]:[Kost schermherstelling]])</f>
        <v>441.9</v>
      </c>
      <c r="F20" s="3">
        <f>tblTCOPhone2[[#This Row],[Totale kost]]/tblTCOPhone2[[#This Row],[Aantal jaar gebruik (ambitie)]]</f>
        <v>441.9</v>
      </c>
    </row>
    <row r="21" spans="1:7" x14ac:dyDescent="0.35">
      <c r="A21" s="10">
        <v>2</v>
      </c>
      <c r="B21" s="3">
        <f t="shared" si="0"/>
        <v>441.9</v>
      </c>
      <c r="C21" s="3">
        <f>ROUNDDOWN((tblTCOPhone2[[#This Row],[Aantal jaar gebruik (ambitie)]]-1)/Aannames!B$3,0)*B$14</f>
        <v>0</v>
      </c>
      <c r="D21" s="3">
        <f>IF(tblTCOPhone2[[#This Row],[Aantal jaar gebruik (ambitie)]]=1,0,tblTCOPhone2[[#This Row],[Aantal jaar gebruik (ambitie)]]*Aannames!B$2)*B$15</f>
        <v>52.725999999999999</v>
      </c>
      <c r="E21" s="3">
        <f>SUM(tblTCOPhone2[[#This Row],[Aankoopkost]:[Kost schermherstelling]])</f>
        <v>494.62599999999998</v>
      </c>
      <c r="F21" s="3">
        <f>tblTCOPhone2[[#This Row],[Totale kost]]/tblTCOPhone2[[#This Row],[Aantal jaar gebruik (ambitie)]]</f>
        <v>247.31299999999999</v>
      </c>
    </row>
    <row r="22" spans="1:7" x14ac:dyDescent="0.35">
      <c r="A22" s="10">
        <v>3</v>
      </c>
      <c r="B22" s="3">
        <f t="shared" si="0"/>
        <v>441.9</v>
      </c>
      <c r="C22" s="3">
        <f>ROUNDDOWN((tblTCOPhone2[[#This Row],[Aantal jaar gebruik (ambitie)]]-1)/Aannames!B$3,0)*B$14</f>
        <v>0</v>
      </c>
      <c r="D22" s="3">
        <f>IF(tblTCOPhone2[[#This Row],[Aantal jaar gebruik (ambitie)]]=1,0,tblTCOPhone2[[#This Row],[Aantal jaar gebruik (ambitie)]]*Aannames!B$2)*B$15</f>
        <v>79.089000000000013</v>
      </c>
      <c r="E22" s="3">
        <f>SUM(tblTCOPhone2[[#This Row],[Aankoopkost]:[Kost schermherstelling]])</f>
        <v>520.98900000000003</v>
      </c>
      <c r="F22" s="3">
        <f>tblTCOPhone2[[#This Row],[Totale kost]]/tblTCOPhone2[[#This Row],[Aantal jaar gebruik (ambitie)]]</f>
        <v>173.66300000000001</v>
      </c>
    </row>
    <row r="23" spans="1:7" x14ac:dyDescent="0.35">
      <c r="A23" s="10">
        <v>4</v>
      </c>
      <c r="B23" s="3">
        <f t="shared" si="0"/>
        <v>441.9</v>
      </c>
      <c r="C23" s="3">
        <f>ROUNDDOWN((tblTCOPhone2[[#This Row],[Aantal jaar gebruik (ambitie)]]-1)/Aannames!B$3,0)*B$14</f>
        <v>75</v>
      </c>
      <c r="D23" s="3">
        <f>IF(tblTCOPhone2[[#This Row],[Aantal jaar gebruik (ambitie)]]=1,0,tblTCOPhone2[[#This Row],[Aantal jaar gebruik (ambitie)]]*Aannames!B$2)*B$15</f>
        <v>105.452</v>
      </c>
      <c r="E23" s="3">
        <f>SUM(tblTCOPhone2[[#This Row],[Aankoopkost]:[Kost schermherstelling]])</f>
        <v>622.35199999999998</v>
      </c>
      <c r="F23" s="3">
        <f>tblTCOPhone2[[#This Row],[Totale kost]]/tblTCOPhone2[[#This Row],[Aantal jaar gebruik (ambitie)]]</f>
        <v>155.58799999999999</v>
      </c>
    </row>
    <row r="24" spans="1:7" x14ac:dyDescent="0.35">
      <c r="A24" s="10">
        <v>5</v>
      </c>
      <c r="B24" s="3">
        <f t="shared" si="0"/>
        <v>441.9</v>
      </c>
      <c r="C24" s="3">
        <f>ROUNDDOWN((tblTCOPhone2[[#This Row],[Aantal jaar gebruik (ambitie)]]-1)/Aannames!B$3,0)*B$14</f>
        <v>75</v>
      </c>
      <c r="D24" s="3">
        <f>IF(tblTCOPhone2[[#This Row],[Aantal jaar gebruik (ambitie)]]=1,0,tblTCOPhone2[[#This Row],[Aantal jaar gebruik (ambitie)]]*Aannames!B$2)*B$15</f>
        <v>131.815</v>
      </c>
      <c r="E24" s="3">
        <f>SUM(tblTCOPhone2[[#This Row],[Aankoopkost]:[Kost schermherstelling]])</f>
        <v>648.71499999999992</v>
      </c>
      <c r="F24" s="3">
        <f>tblTCOPhone2[[#This Row],[Totale kost]]/tblTCOPhone2[[#This Row],[Aantal jaar gebruik (ambitie)]]</f>
        <v>129.74299999999999</v>
      </c>
    </row>
    <row r="25" spans="1:7" x14ac:dyDescent="0.35">
      <c r="A25" s="10">
        <v>6</v>
      </c>
      <c r="B25" s="3">
        <f t="shared" si="0"/>
        <v>441.9</v>
      </c>
      <c r="C25" s="3">
        <f>ROUNDDOWN((tblTCOPhone2[[#This Row],[Aantal jaar gebruik (ambitie)]]-1)/Aannames!B$3,0)*B$14</f>
        <v>75</v>
      </c>
      <c r="D25" s="3">
        <f>IF(tblTCOPhone2[[#This Row],[Aantal jaar gebruik (ambitie)]]=1,0,tblTCOPhone2[[#This Row],[Aantal jaar gebruik (ambitie)]]*Aannames!B$2)*B$15</f>
        <v>158.17800000000003</v>
      </c>
      <c r="E25" s="3">
        <f>SUM(tblTCOPhone2[[#This Row],[Aankoopkost]:[Kost schermherstelling]])</f>
        <v>675.07799999999997</v>
      </c>
      <c r="F25" s="3">
        <f>tblTCOPhone2[[#This Row],[Totale kost]]/tblTCOPhone2[[#This Row],[Aantal jaar gebruik (ambitie)]]</f>
        <v>112.51299999999999</v>
      </c>
    </row>
    <row r="26" spans="1:7" x14ac:dyDescent="0.35">
      <c r="A26" s="10">
        <v>7</v>
      </c>
      <c r="B26" s="3">
        <f t="shared" si="0"/>
        <v>441.9</v>
      </c>
      <c r="C26" s="3">
        <f>ROUNDDOWN((tblTCOPhone2[[#This Row],[Aantal jaar gebruik (ambitie)]]-1)/Aannames!B$3,0)*B$14</f>
        <v>150</v>
      </c>
      <c r="D26" s="3">
        <f>IF(tblTCOPhone2[[#This Row],[Aantal jaar gebruik (ambitie)]]=1,0,tblTCOPhone2[[#This Row],[Aantal jaar gebruik (ambitie)]]*Aannames!B$2)*B$15</f>
        <v>184.54100000000003</v>
      </c>
      <c r="E26" s="3">
        <f>SUM(tblTCOPhone2[[#This Row],[Aankoopkost]:[Kost schermherstelling]])</f>
        <v>776.44100000000003</v>
      </c>
      <c r="F26" s="3">
        <f>tblTCOPhone2[[#This Row],[Totale kost]]/tblTCOPhone2[[#This Row],[Aantal jaar gebruik (ambitie)]]</f>
        <v>110.92014285714286</v>
      </c>
    </row>
    <row r="30" spans="1:7" customFormat="1" ht="43.5" x14ac:dyDescent="0.35">
      <c r="A30" t="s">
        <v>26</v>
      </c>
      <c r="B30" s="4" t="s">
        <v>31</v>
      </c>
      <c r="C30" s="4" t="s">
        <v>32</v>
      </c>
      <c r="D30" s="4" t="s">
        <v>33</v>
      </c>
      <c r="E30" s="4" t="s">
        <v>34</v>
      </c>
      <c r="F30" s="4" t="s">
        <v>1</v>
      </c>
      <c r="G30" s="4" t="s">
        <v>35</v>
      </c>
    </row>
    <row r="31" spans="1:7" x14ac:dyDescent="0.35">
      <c r="A31" s="10">
        <v>1</v>
      </c>
      <c r="B31" s="5">
        <f t="shared" ref="B31:B37" si="1">SUM(B$5,B$6,B$8)</f>
        <v>35.1</v>
      </c>
      <c r="C31" s="5">
        <f>(B$7/B$3)*tblCO2Phone2[[#This Row],[Aantal jaar gebruik (ambitie)]]</f>
        <v>3.1999999999999997</v>
      </c>
      <c r="D31" s="5">
        <f>ROUNDDOWN((tblCO2Phone2[[#This Row],[Aantal jaar gebruik (ambitie)]]-1)/Aannames!B$3,0)*(B$9*B$4)</f>
        <v>0</v>
      </c>
      <c r="E31" s="5">
        <f>IF(tblCO2Phone2[[#This Row],[Aantal jaar gebruik (ambitie)]]=1,0,tblCO2Phone2[[#This Row],[Aantal jaar gebruik (ambitie)]]*Aannames!B$2)*(B$10*B$4)</f>
        <v>0</v>
      </c>
      <c r="F31" s="5">
        <f>SUM(tblCO2Phone2[[#This Row],[CO2 productie, transport en End-of-Life]:[CO2 schermherstelling]])</f>
        <v>38.300000000000004</v>
      </c>
      <c r="G31" s="5">
        <f>tblCO2Phone2[[#This Row],[CO2 totaal*]]/tblCO2Phone2[[#This Row],[Aantal jaar gebruik (ambitie)]]</f>
        <v>38.300000000000004</v>
      </c>
    </row>
    <row r="32" spans="1:7" x14ac:dyDescent="0.35">
      <c r="A32" s="10">
        <v>2</v>
      </c>
      <c r="B32" s="5">
        <f t="shared" si="1"/>
        <v>35.1</v>
      </c>
      <c r="C32" s="5">
        <f>(B$7/B$3)*tblCO2Phone2[[#This Row],[Aantal jaar gebruik (ambitie)]]</f>
        <v>6.3999999999999995</v>
      </c>
      <c r="D32" s="5">
        <f>ROUNDDOWN((tblCO2Phone2[[#This Row],[Aantal jaar gebruik (ambitie)]]-1)/Aannames!B$3,0)*(B$9*B$4)</f>
        <v>0</v>
      </c>
      <c r="E32" s="5">
        <f>IF(tblCO2Phone2[[#This Row],[Aantal jaar gebruik (ambitie)]]=1,0,tblCO2Phone2[[#This Row],[Aantal jaar gebruik (ambitie)]]*Aannames!B$2)*(B$10*B$4)</f>
        <v>0.93870000000000009</v>
      </c>
      <c r="F32" s="5">
        <f>SUM(tblCO2Phone2[[#This Row],[CO2 productie, transport en End-of-Life]:[CO2 schermherstelling]])</f>
        <v>42.438699999999997</v>
      </c>
      <c r="G32" s="5">
        <f>tblCO2Phone2[[#This Row],[CO2 totaal*]]/tblCO2Phone2[[#This Row],[Aantal jaar gebruik (ambitie)]]</f>
        <v>21.219349999999999</v>
      </c>
    </row>
    <row r="33" spans="1:7" x14ac:dyDescent="0.35">
      <c r="A33" s="10">
        <v>3</v>
      </c>
      <c r="B33" s="5">
        <f t="shared" si="1"/>
        <v>35.1</v>
      </c>
      <c r="C33" s="5">
        <f>(B$7/B$3)*tblCO2Phone2[[#This Row],[Aantal jaar gebruik (ambitie)]]</f>
        <v>9.6</v>
      </c>
      <c r="D33" s="5">
        <f>ROUNDDOWN((tblCO2Phone2[[#This Row],[Aantal jaar gebruik (ambitie)]]-1)/Aannames!B$3,0)*(B$9*B$4)</f>
        <v>0</v>
      </c>
      <c r="E33" s="5">
        <f>IF(tblCO2Phone2[[#This Row],[Aantal jaar gebruik (ambitie)]]=1,0,tblCO2Phone2[[#This Row],[Aantal jaar gebruik (ambitie)]]*Aannames!B$2)*(B$10*B$4)</f>
        <v>1.4080500000000002</v>
      </c>
      <c r="F33" s="5">
        <f>SUM(tblCO2Phone2[[#This Row],[CO2 productie, transport en End-of-Life]:[CO2 schermherstelling]])</f>
        <v>46.108050000000006</v>
      </c>
      <c r="G33" s="5">
        <f>tblCO2Phone2[[#This Row],[CO2 totaal*]]/tblCO2Phone2[[#This Row],[Aantal jaar gebruik (ambitie)]]</f>
        <v>15.369350000000003</v>
      </c>
    </row>
    <row r="34" spans="1:7" x14ac:dyDescent="0.35">
      <c r="A34" s="10">
        <v>4</v>
      </c>
      <c r="B34" s="5">
        <f t="shared" si="1"/>
        <v>35.1</v>
      </c>
      <c r="C34" s="5">
        <f>(B$7/B$3)*tblCO2Phone2[[#This Row],[Aantal jaar gebruik (ambitie)]]</f>
        <v>12.799999999999999</v>
      </c>
      <c r="D34" s="5">
        <f>ROUNDDOWN((tblCO2Phone2[[#This Row],[Aantal jaar gebruik (ambitie)]]-1)/Aannames!B$3,0)*(B$9*B$4)</f>
        <v>4.0229999999999997</v>
      </c>
      <c r="E34" s="5">
        <f>IF(tblCO2Phone2[[#This Row],[Aantal jaar gebruik (ambitie)]]=1,0,tblCO2Phone2[[#This Row],[Aantal jaar gebruik (ambitie)]]*Aannames!B$2)*(B$10*B$4)</f>
        <v>1.8774000000000002</v>
      </c>
      <c r="F34" s="5">
        <f>SUM(tblCO2Phone2[[#This Row],[CO2 productie, transport en End-of-Life]:[CO2 schermherstelling]])</f>
        <v>53.800400000000003</v>
      </c>
      <c r="G34" s="5">
        <f>tblCO2Phone2[[#This Row],[CO2 totaal*]]/tblCO2Phone2[[#This Row],[Aantal jaar gebruik (ambitie)]]</f>
        <v>13.450100000000001</v>
      </c>
    </row>
    <row r="35" spans="1:7" x14ac:dyDescent="0.35">
      <c r="A35" s="10">
        <v>5</v>
      </c>
      <c r="B35" s="5">
        <f t="shared" si="1"/>
        <v>35.1</v>
      </c>
      <c r="C35" s="5">
        <f>(B$7/B$3)*tblCO2Phone2[[#This Row],[Aantal jaar gebruik (ambitie)]]</f>
        <v>15.999999999999998</v>
      </c>
      <c r="D35" s="5">
        <f>ROUNDDOWN((tblCO2Phone2[[#This Row],[Aantal jaar gebruik (ambitie)]]-1)/Aannames!B$3,0)*(B$9*B$4)</f>
        <v>4.0229999999999997</v>
      </c>
      <c r="E35" s="5">
        <f>IF(tblCO2Phone2[[#This Row],[Aantal jaar gebruik (ambitie)]]=1,0,tblCO2Phone2[[#This Row],[Aantal jaar gebruik (ambitie)]]*Aannames!B$2)*(B$10*B$4)</f>
        <v>2.3467500000000001</v>
      </c>
      <c r="F35" s="5">
        <f>SUM(tblCO2Phone2[[#This Row],[CO2 productie, transport en End-of-Life]:[CO2 schermherstelling]])</f>
        <v>57.469750000000005</v>
      </c>
      <c r="G35" s="5">
        <f>tblCO2Phone2[[#This Row],[CO2 totaal*]]/tblCO2Phone2[[#This Row],[Aantal jaar gebruik (ambitie)]]</f>
        <v>11.493950000000002</v>
      </c>
    </row>
    <row r="36" spans="1:7" x14ac:dyDescent="0.35">
      <c r="A36" s="10">
        <v>6</v>
      </c>
      <c r="B36" s="5">
        <f t="shared" si="1"/>
        <v>35.1</v>
      </c>
      <c r="C36" s="5">
        <f>(B$7/B$3)*tblCO2Phone2[[#This Row],[Aantal jaar gebruik (ambitie)]]</f>
        <v>19.2</v>
      </c>
      <c r="D36" s="5">
        <f>ROUNDDOWN((tblCO2Phone2[[#This Row],[Aantal jaar gebruik (ambitie)]]-1)/Aannames!B$3,0)*(B$9*B$4)</f>
        <v>4.0229999999999997</v>
      </c>
      <c r="E36" s="5">
        <f>IF(tblCO2Phone2[[#This Row],[Aantal jaar gebruik (ambitie)]]=1,0,tblCO2Phone2[[#This Row],[Aantal jaar gebruik (ambitie)]]*Aannames!B$2)*(B$10*B$4)</f>
        <v>2.8161000000000005</v>
      </c>
      <c r="F36" s="5">
        <f>SUM(tblCO2Phone2[[#This Row],[CO2 productie, transport en End-of-Life]:[CO2 schermherstelling]])</f>
        <v>61.139099999999992</v>
      </c>
      <c r="G36" s="5">
        <f>tblCO2Phone2[[#This Row],[CO2 totaal*]]/tblCO2Phone2[[#This Row],[Aantal jaar gebruik (ambitie)]]</f>
        <v>10.189849999999998</v>
      </c>
    </row>
    <row r="37" spans="1:7" x14ac:dyDescent="0.35">
      <c r="A37" s="10">
        <v>7</v>
      </c>
      <c r="B37" s="5">
        <f t="shared" si="1"/>
        <v>35.1</v>
      </c>
      <c r="C37" s="5">
        <f>(B$7/B$3)*tblCO2Phone2[[#This Row],[Aantal jaar gebruik (ambitie)]]</f>
        <v>22.4</v>
      </c>
      <c r="D37" s="5">
        <f>ROUNDDOWN((tblCO2Phone2[[#This Row],[Aantal jaar gebruik (ambitie)]]-1)/Aannames!B$3,0)*(B$9*B$4)</f>
        <v>8.0459999999999994</v>
      </c>
      <c r="E37" s="5">
        <f>IF(tblCO2Phone2[[#This Row],[Aantal jaar gebruik (ambitie)]]=1,0,tblCO2Phone2[[#This Row],[Aantal jaar gebruik (ambitie)]]*Aannames!B$2)*(B$10*B$4)</f>
        <v>3.2854500000000004</v>
      </c>
      <c r="F37" s="5">
        <f>SUM(tblCO2Phone2[[#This Row],[CO2 productie, transport en End-of-Life]:[CO2 schermherstelling]])</f>
        <v>68.83144999999999</v>
      </c>
      <c r="G37" s="5">
        <f>tblCO2Phone2[[#This Row],[CO2 totaal*]]/tblCO2Phone2[[#This Row],[Aantal jaar gebruik (ambitie)]]</f>
        <v>9.8330642857142845</v>
      </c>
    </row>
    <row r="38" spans="1:7" x14ac:dyDescent="0.35">
      <c r="A38" s="1" t="s">
        <v>37</v>
      </c>
    </row>
  </sheetData>
  <sheetProtection sheet="1" objects="1" scenarios="1"/>
  <protectedRanges>
    <protectedRange sqref="B9:C10 B4:B8" name="Phone1"/>
    <protectedRange sqref="B2:C3 C4:C8" name="Phone2"/>
    <protectedRange sqref="B11:C15" name="Phone2_1"/>
  </protectedRanges>
  <hyperlinks>
    <hyperlink ref="C4" r:id="rId1" display="Samsung LCA reports" xr:uid="{BF96F39A-2EE5-4CC7-B893-968ED0488B55}"/>
    <hyperlink ref="C5" r:id="rId2" display="Samsung LCA reports" xr:uid="{C48ABEA0-1587-48CA-A455-14AFD22F3CB0}"/>
    <hyperlink ref="C6" r:id="rId3" display="Samsung LCA reports" xr:uid="{CE9F668A-E969-4628-8F4A-AE485963AC6B}"/>
    <hyperlink ref="C7" r:id="rId4" display="Samsung LCA reports" xr:uid="{5E74C3EA-1FB4-411B-9A1A-6A8A7B9057B3}"/>
    <hyperlink ref="C8" r:id="rId5" display="Samsung LCA reports" xr:uid="{8DA568C0-66F8-4F9C-9BDA-E0C98BE2C418}"/>
    <hyperlink ref="C14" r:id="rId6" display="Samsung Support - " xr:uid="{7B8235A4-51C0-4D5E-98E3-D0784F51A4A9}"/>
  </hyperlinks>
  <pageMargins left="0.70866141732283472" right="0.70866141732283472" top="0.74803149606299213" bottom="0.92708333333333337" header="0.31496062992125984" footer="0.31496062992125984"/>
  <pageSetup paperSize="9" orientation="portrait" r:id="rId7"/>
  <headerFooter differentFirst="1">
    <oddFooter>&amp;L&amp;G&amp;C&amp;F - &amp;A&amp;Rpagina &amp;P van &amp;N</oddFooter>
    <firstFooter>&amp;C&amp;9&amp;F - &amp;A&amp;R&amp;9pagina &amp;P van &amp;N</firstFooter>
  </headerFooter>
  <drawing r:id="rId8"/>
  <legacyDrawingHF r:id="rId9"/>
  <tableParts count="3">
    <tablePart r:id="rId10"/>
    <tablePart r:id="rId11"/>
    <tablePart r:id="rId1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3F598-119F-42FB-86BF-0B44B4567404}">
  <sheetPr codeName="Blad4"/>
  <dimension ref="A1:G38"/>
  <sheetViews>
    <sheetView zoomScaleNormal="100" workbookViewId="0">
      <selection activeCell="B2" sqref="B2"/>
    </sheetView>
  </sheetViews>
  <sheetFormatPr defaultColWidth="9.1796875" defaultRowHeight="14.5" x14ac:dyDescent="0.35"/>
  <cols>
    <col min="1" max="1" width="37" style="1" customWidth="1"/>
    <col min="2" max="2" width="19.453125" style="1" customWidth="1"/>
    <col min="3" max="3" width="28.54296875" style="1" customWidth="1"/>
    <col min="4" max="5" width="19.453125" style="1" customWidth="1"/>
    <col min="6" max="6" width="20.453125" style="1" bestFit="1" customWidth="1"/>
    <col min="7" max="7" width="20.453125" style="1" customWidth="1"/>
    <col min="8" max="16384" width="9.1796875" style="1"/>
  </cols>
  <sheetData>
    <row r="1" spans="1:3" x14ac:dyDescent="0.35">
      <c r="A1" s="1" t="s">
        <v>11</v>
      </c>
      <c r="B1" s="1" t="s">
        <v>3</v>
      </c>
      <c r="C1" s="1" t="s">
        <v>12</v>
      </c>
    </row>
    <row r="2" spans="1:3" x14ac:dyDescent="0.35">
      <c r="A2" s="1" t="s">
        <v>13</v>
      </c>
      <c r="B2" s="15" t="s">
        <v>57</v>
      </c>
      <c r="C2" s="22"/>
    </row>
    <row r="3" spans="1:3" x14ac:dyDescent="0.35">
      <c r="A3" s="1" t="s">
        <v>14</v>
      </c>
      <c r="B3" s="17">
        <v>3</v>
      </c>
      <c r="C3" s="21"/>
    </row>
    <row r="4" spans="1:3" x14ac:dyDescent="0.35">
      <c r="A4" s="1" t="s">
        <v>15</v>
      </c>
      <c r="B4" s="19">
        <v>46</v>
      </c>
      <c r="C4" s="18" t="s">
        <v>6</v>
      </c>
    </row>
    <row r="5" spans="1:3" x14ac:dyDescent="0.35">
      <c r="A5" s="1" t="s">
        <v>44</v>
      </c>
      <c r="B5" s="23">
        <v>0.82</v>
      </c>
      <c r="C5" s="18" t="s">
        <v>5</v>
      </c>
    </row>
    <row r="6" spans="1:3" x14ac:dyDescent="0.35">
      <c r="A6" s="1" t="s">
        <v>45</v>
      </c>
      <c r="B6" s="23">
        <v>0.04</v>
      </c>
      <c r="C6" s="18" t="s">
        <v>5</v>
      </c>
    </row>
    <row r="7" spans="1:3" x14ac:dyDescent="0.35">
      <c r="A7" s="1" t="s">
        <v>46</v>
      </c>
      <c r="B7" s="23">
        <v>0.13</v>
      </c>
      <c r="C7" s="18" t="s">
        <v>5</v>
      </c>
    </row>
    <row r="8" spans="1:3" x14ac:dyDescent="0.35">
      <c r="A8" s="1" t="s">
        <v>47</v>
      </c>
      <c r="B8" s="23">
        <v>0.01</v>
      </c>
      <c r="C8" s="18" t="s">
        <v>5</v>
      </c>
    </row>
    <row r="9" spans="1:3" x14ac:dyDescent="0.35">
      <c r="A9" s="1" t="s">
        <v>38</v>
      </c>
      <c r="B9" s="23">
        <v>0.09</v>
      </c>
      <c r="C9" s="21" t="s">
        <v>42</v>
      </c>
    </row>
    <row r="10" spans="1:3" x14ac:dyDescent="0.35">
      <c r="A10" s="1" t="s">
        <v>39</v>
      </c>
      <c r="B10" s="23">
        <v>0.105</v>
      </c>
      <c r="C10" s="21" t="s">
        <v>42</v>
      </c>
    </row>
    <row r="11" spans="1:3" x14ac:dyDescent="0.35">
      <c r="A11" s="1" t="s">
        <v>22</v>
      </c>
      <c r="B11" s="20">
        <v>474.32</v>
      </c>
      <c r="C11" s="21" t="s">
        <v>36</v>
      </c>
    </row>
    <row r="12" spans="1:3" x14ac:dyDescent="0.35">
      <c r="A12" s="1" t="s">
        <v>23</v>
      </c>
      <c r="B12" s="20"/>
      <c r="C12" s="22"/>
    </row>
    <row r="13" spans="1:3" x14ac:dyDescent="0.35">
      <c r="A13" s="1" t="s">
        <v>24</v>
      </c>
      <c r="B13" s="20"/>
      <c r="C13" s="22"/>
    </row>
    <row r="14" spans="1:3" x14ac:dyDescent="0.35">
      <c r="A14" s="1" t="s">
        <v>28</v>
      </c>
      <c r="B14" s="20">
        <v>79</v>
      </c>
      <c r="C14" s="18" t="s">
        <v>55</v>
      </c>
    </row>
    <row r="15" spans="1:3" x14ac:dyDescent="0.35">
      <c r="A15" s="1" t="s">
        <v>25</v>
      </c>
      <c r="B15" s="20">
        <v>263.63</v>
      </c>
      <c r="C15" s="21" t="s">
        <v>0</v>
      </c>
    </row>
    <row r="19" spans="1:7" customFormat="1" ht="29" x14ac:dyDescent="0.35">
      <c r="A19" t="s">
        <v>26</v>
      </c>
      <c r="B19" s="4" t="s">
        <v>27</v>
      </c>
      <c r="C19" s="4" t="s">
        <v>28</v>
      </c>
      <c r="D19" s="4" t="s">
        <v>25</v>
      </c>
      <c r="E19" s="4" t="s">
        <v>29</v>
      </c>
      <c r="F19" s="4" t="s">
        <v>30</v>
      </c>
    </row>
    <row r="20" spans="1:7" x14ac:dyDescent="0.35">
      <c r="A20" s="10">
        <v>1</v>
      </c>
      <c r="B20" s="3">
        <f t="shared" ref="B20:B26" si="0">SUM(B$11:B$13)</f>
        <v>474.32</v>
      </c>
      <c r="C20" s="3">
        <f>ROUNDDOWN((tblTCOPhone3[[#This Row],[Aantal jaar gebruik (ambitie)]]-1)/Aannames!B$3,0)*B$14</f>
        <v>0</v>
      </c>
      <c r="D20" s="3">
        <f>IF(tblTCOPhone3[[#This Row],[Aantal jaar gebruik (ambitie)]]=1,0,tblTCOPhone3[[#This Row],[Aantal jaar gebruik (ambitie)]]*Aannames!B$2)*B$15</f>
        <v>0</v>
      </c>
      <c r="E20" s="3">
        <f>SUM(tblTCOPhone3[[#This Row],[Aankoopkost]:[Kost schermherstelling]])</f>
        <v>474.32</v>
      </c>
      <c r="F20" s="3">
        <f>tblTCOPhone3[[#This Row],[Totale kost]]/tblTCOPhone3[[#This Row],[Aantal jaar gebruik (ambitie)]]</f>
        <v>474.32</v>
      </c>
    </row>
    <row r="21" spans="1:7" x14ac:dyDescent="0.35">
      <c r="A21" s="10">
        <v>2</v>
      </c>
      <c r="B21" s="3">
        <f t="shared" si="0"/>
        <v>474.32</v>
      </c>
      <c r="C21" s="3">
        <f>ROUNDDOWN((tblTCOPhone3[[#This Row],[Aantal jaar gebruik (ambitie)]]-1)/Aannames!B$3,0)*B$14</f>
        <v>0</v>
      </c>
      <c r="D21" s="3">
        <f>IF(tblTCOPhone3[[#This Row],[Aantal jaar gebruik (ambitie)]]=1,0,tblTCOPhone3[[#This Row],[Aantal jaar gebruik (ambitie)]]*Aannames!B$2)*B$15</f>
        <v>52.725999999999999</v>
      </c>
      <c r="E21" s="3">
        <f>SUM(tblTCOPhone3[[#This Row],[Aankoopkost]:[Kost schermherstelling]])</f>
        <v>527.04600000000005</v>
      </c>
      <c r="F21" s="3">
        <f>tblTCOPhone3[[#This Row],[Totale kost]]/tblTCOPhone3[[#This Row],[Aantal jaar gebruik (ambitie)]]</f>
        <v>263.52300000000002</v>
      </c>
    </row>
    <row r="22" spans="1:7" x14ac:dyDescent="0.35">
      <c r="A22" s="10">
        <v>3</v>
      </c>
      <c r="B22" s="3">
        <f t="shared" si="0"/>
        <v>474.32</v>
      </c>
      <c r="C22" s="3">
        <f>ROUNDDOWN((tblTCOPhone3[[#This Row],[Aantal jaar gebruik (ambitie)]]-1)/Aannames!B$3,0)*B$14</f>
        <v>0</v>
      </c>
      <c r="D22" s="3">
        <f>IF(tblTCOPhone3[[#This Row],[Aantal jaar gebruik (ambitie)]]=1,0,tblTCOPhone3[[#This Row],[Aantal jaar gebruik (ambitie)]]*Aannames!B$2)*B$15</f>
        <v>79.089000000000013</v>
      </c>
      <c r="E22" s="3">
        <f>SUM(tblTCOPhone3[[#This Row],[Aankoopkost]:[Kost schermherstelling]])</f>
        <v>553.40899999999999</v>
      </c>
      <c r="F22" s="3">
        <f>tblTCOPhone3[[#This Row],[Totale kost]]/tblTCOPhone3[[#This Row],[Aantal jaar gebruik (ambitie)]]</f>
        <v>184.46966666666665</v>
      </c>
    </row>
    <row r="23" spans="1:7" x14ac:dyDescent="0.35">
      <c r="A23" s="10">
        <v>4</v>
      </c>
      <c r="B23" s="3">
        <f t="shared" si="0"/>
        <v>474.32</v>
      </c>
      <c r="C23" s="3">
        <f>ROUNDDOWN((tblTCOPhone3[[#This Row],[Aantal jaar gebruik (ambitie)]]-1)/Aannames!B$3,0)*B$14</f>
        <v>79</v>
      </c>
      <c r="D23" s="3">
        <f>IF(tblTCOPhone3[[#This Row],[Aantal jaar gebruik (ambitie)]]=1,0,tblTCOPhone3[[#This Row],[Aantal jaar gebruik (ambitie)]]*Aannames!B$2)*B$15</f>
        <v>105.452</v>
      </c>
      <c r="E23" s="3">
        <f>SUM(tblTCOPhone3[[#This Row],[Aankoopkost]:[Kost schermherstelling]])</f>
        <v>658.77199999999993</v>
      </c>
      <c r="F23" s="3">
        <f>tblTCOPhone3[[#This Row],[Totale kost]]/tblTCOPhone3[[#This Row],[Aantal jaar gebruik (ambitie)]]</f>
        <v>164.69299999999998</v>
      </c>
    </row>
    <row r="24" spans="1:7" x14ac:dyDescent="0.35">
      <c r="A24" s="10">
        <v>5</v>
      </c>
      <c r="B24" s="3">
        <f t="shared" si="0"/>
        <v>474.32</v>
      </c>
      <c r="C24" s="3">
        <f>ROUNDDOWN((tblTCOPhone3[[#This Row],[Aantal jaar gebruik (ambitie)]]-1)/Aannames!B$3,0)*B$14</f>
        <v>79</v>
      </c>
      <c r="D24" s="3">
        <f>IF(tblTCOPhone3[[#This Row],[Aantal jaar gebruik (ambitie)]]=1,0,tblTCOPhone3[[#This Row],[Aantal jaar gebruik (ambitie)]]*Aannames!B$2)*B$15</f>
        <v>131.815</v>
      </c>
      <c r="E24" s="3">
        <f>SUM(tblTCOPhone3[[#This Row],[Aankoopkost]:[Kost schermherstelling]])</f>
        <v>685.13499999999999</v>
      </c>
      <c r="F24" s="3">
        <f>tblTCOPhone3[[#This Row],[Totale kost]]/tblTCOPhone3[[#This Row],[Aantal jaar gebruik (ambitie)]]</f>
        <v>137.02699999999999</v>
      </c>
    </row>
    <row r="25" spans="1:7" x14ac:dyDescent="0.35">
      <c r="A25" s="10">
        <v>6</v>
      </c>
      <c r="B25" s="3">
        <f t="shared" si="0"/>
        <v>474.32</v>
      </c>
      <c r="C25" s="3">
        <f>ROUNDDOWN((tblTCOPhone3[[#This Row],[Aantal jaar gebruik (ambitie)]]-1)/Aannames!B$3,0)*B$14</f>
        <v>79</v>
      </c>
      <c r="D25" s="3">
        <f>IF(tblTCOPhone3[[#This Row],[Aantal jaar gebruik (ambitie)]]=1,0,tblTCOPhone3[[#This Row],[Aantal jaar gebruik (ambitie)]]*Aannames!B$2)*B$15</f>
        <v>158.17800000000003</v>
      </c>
      <c r="E25" s="3">
        <f>SUM(tblTCOPhone3[[#This Row],[Aankoopkost]:[Kost schermherstelling]])</f>
        <v>711.49799999999993</v>
      </c>
      <c r="F25" s="3">
        <f>tblTCOPhone3[[#This Row],[Totale kost]]/tblTCOPhone3[[#This Row],[Aantal jaar gebruik (ambitie)]]</f>
        <v>118.58299999999998</v>
      </c>
    </row>
    <row r="26" spans="1:7" x14ac:dyDescent="0.35">
      <c r="A26" s="10">
        <v>7</v>
      </c>
      <c r="B26" s="3">
        <f t="shared" si="0"/>
        <v>474.32</v>
      </c>
      <c r="C26" s="3">
        <f>ROUNDDOWN((tblTCOPhone3[[#This Row],[Aantal jaar gebruik (ambitie)]]-1)/Aannames!B$3,0)*B$14</f>
        <v>158</v>
      </c>
      <c r="D26" s="3">
        <f>IF(tblTCOPhone3[[#This Row],[Aantal jaar gebruik (ambitie)]]=1,0,tblTCOPhone3[[#This Row],[Aantal jaar gebruik (ambitie)]]*Aannames!B$2)*B$15</f>
        <v>184.54100000000003</v>
      </c>
      <c r="E26" s="3">
        <f>SUM(tblTCOPhone3[[#This Row],[Aankoopkost]:[Kost schermherstelling]])</f>
        <v>816.86099999999999</v>
      </c>
      <c r="F26" s="3">
        <f>tblTCOPhone3[[#This Row],[Totale kost]]/tblTCOPhone3[[#This Row],[Aantal jaar gebruik (ambitie)]]</f>
        <v>116.69442857142857</v>
      </c>
    </row>
    <row r="30" spans="1:7" customFormat="1" ht="43.5" x14ac:dyDescent="0.35">
      <c r="A30" t="s">
        <v>26</v>
      </c>
      <c r="B30" s="4" t="s">
        <v>31</v>
      </c>
      <c r="C30" s="4" t="s">
        <v>32</v>
      </c>
      <c r="D30" s="4" t="s">
        <v>33</v>
      </c>
      <c r="E30" s="4" t="s">
        <v>34</v>
      </c>
      <c r="F30" s="4" t="s">
        <v>1</v>
      </c>
      <c r="G30" s="4" t="s">
        <v>35</v>
      </c>
    </row>
    <row r="31" spans="1:7" x14ac:dyDescent="0.35">
      <c r="A31" s="10">
        <v>1</v>
      </c>
      <c r="B31" s="5">
        <f t="shared" ref="B31:B37" si="1">SUM(B$5,B$6,B$8)*B$4</f>
        <v>40.020000000000003</v>
      </c>
      <c r="C31" s="5">
        <f>((B$7*B$4)/B$3)*tblCO2Phone3[[#This Row],[Aantal jaar gebruik (ambitie)]]</f>
        <v>1.9933333333333334</v>
      </c>
      <c r="D31" s="5">
        <f>ROUNDDOWN((tblCO2Phone3[[#This Row],[Aantal jaar gebruik (ambitie)]]-1)/Aannames!B$3,0)*(B$9*B$4)</f>
        <v>0</v>
      </c>
      <c r="E31" s="5">
        <f>IF(tblCO2Phone3[[#This Row],[Aantal jaar gebruik (ambitie)]]=1,0,tblCO2Phone3[[#This Row],[Aantal jaar gebruik (ambitie)]]*Aannames!B$2)*(B$10*B$4)</f>
        <v>0</v>
      </c>
      <c r="F31" s="5">
        <f>SUM(tblCO2Phone3[[#This Row],[CO2 productie, transport en End-of-Life]:[CO2 schermherstelling]])</f>
        <v>42.013333333333335</v>
      </c>
      <c r="G31" s="5">
        <f>tblCO2Phone3[[#This Row],[CO2 totaal*]]/tblCO2Phone3[[#This Row],[Aantal jaar gebruik (ambitie)]]</f>
        <v>42.013333333333335</v>
      </c>
    </row>
    <row r="32" spans="1:7" x14ac:dyDescent="0.35">
      <c r="A32" s="10">
        <v>2</v>
      </c>
      <c r="B32" s="5">
        <f t="shared" si="1"/>
        <v>40.020000000000003</v>
      </c>
      <c r="C32" s="5">
        <f>((B$7*B$4)/B$3)*tblCO2Phone3[[#This Row],[Aantal jaar gebruik (ambitie)]]</f>
        <v>3.9866666666666668</v>
      </c>
      <c r="D32" s="5">
        <f>ROUNDDOWN((tblCO2Phone3[[#This Row],[Aantal jaar gebruik (ambitie)]]-1)/Aannames!B$3,0)*(B$9*B$4)</f>
        <v>0</v>
      </c>
      <c r="E32" s="5">
        <f>IF(tblCO2Phone3[[#This Row],[Aantal jaar gebruik (ambitie)]]=1,0,tblCO2Phone3[[#This Row],[Aantal jaar gebruik (ambitie)]]*Aannames!B$2)*(B$10*B$4)</f>
        <v>0.96600000000000008</v>
      </c>
      <c r="F32" s="5">
        <f>SUM(tblCO2Phone3[[#This Row],[CO2 productie, transport en End-of-Life]:[CO2 schermherstelling]])</f>
        <v>44.972666666666669</v>
      </c>
      <c r="G32" s="5">
        <f>tblCO2Phone3[[#This Row],[CO2 totaal*]]/tblCO2Phone3[[#This Row],[Aantal jaar gebruik (ambitie)]]</f>
        <v>22.486333333333334</v>
      </c>
    </row>
    <row r="33" spans="1:7" x14ac:dyDescent="0.35">
      <c r="A33" s="10">
        <v>3</v>
      </c>
      <c r="B33" s="5">
        <f t="shared" si="1"/>
        <v>40.020000000000003</v>
      </c>
      <c r="C33" s="5">
        <f>((B$7*B$4)/B$3)*tblCO2Phone3[[#This Row],[Aantal jaar gebruik (ambitie)]]</f>
        <v>5.98</v>
      </c>
      <c r="D33" s="5">
        <f>ROUNDDOWN((tblCO2Phone3[[#This Row],[Aantal jaar gebruik (ambitie)]]-1)/Aannames!B$3,0)*(B$9*B$4)</f>
        <v>0</v>
      </c>
      <c r="E33" s="5">
        <f>IF(tblCO2Phone3[[#This Row],[Aantal jaar gebruik (ambitie)]]=1,0,tblCO2Phone3[[#This Row],[Aantal jaar gebruik (ambitie)]]*Aannames!B$2)*(B$10*B$4)</f>
        <v>1.4490000000000003</v>
      </c>
      <c r="F33" s="5">
        <f>SUM(tblCO2Phone3[[#This Row],[CO2 productie, transport en End-of-Life]:[CO2 schermherstelling]])</f>
        <v>47.448999999999998</v>
      </c>
      <c r="G33" s="5">
        <f>tblCO2Phone3[[#This Row],[CO2 totaal*]]/tblCO2Phone3[[#This Row],[Aantal jaar gebruik (ambitie)]]</f>
        <v>15.816333333333333</v>
      </c>
    </row>
    <row r="34" spans="1:7" x14ac:dyDescent="0.35">
      <c r="A34" s="10">
        <v>4</v>
      </c>
      <c r="B34" s="5">
        <f t="shared" si="1"/>
        <v>40.020000000000003</v>
      </c>
      <c r="C34" s="5">
        <f>((B$7*B$4)/B$3)*tblCO2Phone3[[#This Row],[Aantal jaar gebruik (ambitie)]]</f>
        <v>7.9733333333333336</v>
      </c>
      <c r="D34" s="5">
        <f>ROUNDDOWN((tblCO2Phone3[[#This Row],[Aantal jaar gebruik (ambitie)]]-1)/Aannames!B$3,0)*(B$9*B$4)</f>
        <v>4.1399999999999997</v>
      </c>
      <c r="E34" s="5">
        <f>IF(tblCO2Phone3[[#This Row],[Aantal jaar gebruik (ambitie)]]=1,0,tblCO2Phone3[[#This Row],[Aantal jaar gebruik (ambitie)]]*Aannames!B$2)*(B$10*B$4)</f>
        <v>1.9320000000000002</v>
      </c>
      <c r="F34" s="5">
        <f>SUM(tblCO2Phone3[[#This Row],[CO2 productie, transport en End-of-Life]:[CO2 schermherstelling]])</f>
        <v>54.065333333333342</v>
      </c>
      <c r="G34" s="5">
        <f>tblCO2Phone3[[#This Row],[CO2 totaal*]]/tblCO2Phone3[[#This Row],[Aantal jaar gebruik (ambitie)]]</f>
        <v>13.516333333333336</v>
      </c>
    </row>
    <row r="35" spans="1:7" x14ac:dyDescent="0.35">
      <c r="A35" s="10">
        <v>5</v>
      </c>
      <c r="B35" s="5">
        <f t="shared" si="1"/>
        <v>40.020000000000003</v>
      </c>
      <c r="C35" s="5">
        <f>((B$7*B$4)/B$3)*tblCO2Phone3[[#This Row],[Aantal jaar gebruik (ambitie)]]</f>
        <v>9.9666666666666668</v>
      </c>
      <c r="D35" s="5">
        <f>ROUNDDOWN((tblCO2Phone3[[#This Row],[Aantal jaar gebruik (ambitie)]]-1)/Aannames!B$3,0)*(B$9*B$4)</f>
        <v>4.1399999999999997</v>
      </c>
      <c r="E35" s="5">
        <f>IF(tblCO2Phone3[[#This Row],[Aantal jaar gebruik (ambitie)]]=1,0,tblCO2Phone3[[#This Row],[Aantal jaar gebruik (ambitie)]]*Aannames!B$2)*(B$10*B$4)</f>
        <v>2.415</v>
      </c>
      <c r="F35" s="5">
        <f>SUM(tblCO2Phone3[[#This Row],[CO2 productie, transport en End-of-Life]:[CO2 schermherstelling]])</f>
        <v>56.541666666666671</v>
      </c>
      <c r="G35" s="5">
        <f>tblCO2Phone3[[#This Row],[CO2 totaal*]]/tblCO2Phone3[[#This Row],[Aantal jaar gebruik (ambitie)]]</f>
        <v>11.308333333333334</v>
      </c>
    </row>
    <row r="36" spans="1:7" x14ac:dyDescent="0.35">
      <c r="A36" s="10">
        <v>6</v>
      </c>
      <c r="B36" s="5">
        <f t="shared" si="1"/>
        <v>40.020000000000003</v>
      </c>
      <c r="C36" s="5">
        <f>((B$7*B$4)/B$3)*tblCO2Phone3[[#This Row],[Aantal jaar gebruik (ambitie)]]</f>
        <v>11.96</v>
      </c>
      <c r="D36" s="5">
        <f>ROUNDDOWN((tblCO2Phone3[[#This Row],[Aantal jaar gebruik (ambitie)]]-1)/Aannames!B$3,0)*(B$9*B$4)</f>
        <v>4.1399999999999997</v>
      </c>
      <c r="E36" s="5">
        <f>IF(tblCO2Phone3[[#This Row],[Aantal jaar gebruik (ambitie)]]=1,0,tblCO2Phone3[[#This Row],[Aantal jaar gebruik (ambitie)]]*Aannames!B$2)*(B$10*B$4)</f>
        <v>2.8980000000000006</v>
      </c>
      <c r="F36" s="5">
        <f>SUM(tblCO2Phone3[[#This Row],[CO2 productie, transport en End-of-Life]:[CO2 schermherstelling]])</f>
        <v>59.018000000000008</v>
      </c>
      <c r="G36" s="5">
        <f>tblCO2Phone3[[#This Row],[CO2 totaal*]]/tblCO2Phone3[[#This Row],[Aantal jaar gebruik (ambitie)]]</f>
        <v>9.836333333333334</v>
      </c>
    </row>
    <row r="37" spans="1:7" x14ac:dyDescent="0.35">
      <c r="A37" s="10">
        <v>7</v>
      </c>
      <c r="B37" s="5">
        <f t="shared" si="1"/>
        <v>40.020000000000003</v>
      </c>
      <c r="C37" s="5">
        <f>((B$7*B$4)/B$3)*tblCO2Phone3[[#This Row],[Aantal jaar gebruik (ambitie)]]</f>
        <v>13.953333333333333</v>
      </c>
      <c r="D37" s="5">
        <f>ROUNDDOWN((tblCO2Phone3[[#This Row],[Aantal jaar gebruik (ambitie)]]-1)/Aannames!B$3,0)*(B$9*B$4)</f>
        <v>8.2799999999999994</v>
      </c>
      <c r="E37" s="5">
        <f>IF(tblCO2Phone3[[#This Row],[Aantal jaar gebruik (ambitie)]]=1,0,tblCO2Phone3[[#This Row],[Aantal jaar gebruik (ambitie)]]*Aannames!B$2)*(B$10*B$4)</f>
        <v>3.3810000000000002</v>
      </c>
      <c r="F37" s="5">
        <f>SUM(tblCO2Phone3[[#This Row],[CO2 productie, transport en End-of-Life]:[CO2 schermherstelling]])</f>
        <v>65.634333333333331</v>
      </c>
      <c r="G37" s="5">
        <f>tblCO2Phone3[[#This Row],[CO2 totaal*]]/tblCO2Phone3[[#This Row],[Aantal jaar gebruik (ambitie)]]</f>
        <v>9.3763333333333332</v>
      </c>
    </row>
    <row r="38" spans="1:7" x14ac:dyDescent="0.35">
      <c r="A38" s="1" t="s">
        <v>37</v>
      </c>
    </row>
  </sheetData>
  <sheetProtection sheet="1" objects="1" scenarios="1"/>
  <protectedRanges>
    <protectedRange sqref="B9:C10 B4:B8" name="Phone1"/>
    <protectedRange sqref="B2:C3 C4:C8" name="Phone2"/>
    <protectedRange sqref="B11:C14" name="Phone2_1"/>
    <protectedRange sqref="B15:C15" name="Phone3"/>
  </protectedRanges>
  <hyperlinks>
    <hyperlink ref="C14" r:id="rId1" display="Samsung Support - Based on US price of $80, inclusive of labour/service costs" xr:uid="{8B0185BB-C2C0-452A-BC10-BDB56F7DA4CE}"/>
    <hyperlink ref="C4" r:id="rId2" display="Apple" xr:uid="{10908CB7-617D-4C8F-8D40-F0A3B710DCF2}"/>
    <hyperlink ref="C8" r:id="rId3" display="Apple" xr:uid="{108C04BA-0612-4817-A125-77E51042B631}"/>
    <hyperlink ref="C7" r:id="rId4" display="Apple" xr:uid="{D3090D02-E015-4540-A772-CCA190187B8C}"/>
    <hyperlink ref="C6" r:id="rId5" display="Apple" xr:uid="{2DA5AC96-40B1-4FA7-873D-4CFDC2884BB7}"/>
    <hyperlink ref="C5" r:id="rId6" display="Apple" xr:uid="{721EF7E9-A1A1-4384-B50B-E7E8649D04E4}"/>
  </hyperlinks>
  <pageMargins left="0.70866141732283472" right="0.70866141732283472" top="0.74803149606299213" bottom="0.92708333333333337" header="0.31496062992125984" footer="0.31496062992125984"/>
  <pageSetup paperSize="9" orientation="portrait" r:id="rId7"/>
  <headerFooter differentFirst="1">
    <oddFooter>&amp;L&amp;G&amp;C&amp;F - &amp;A&amp;Rpagina &amp;P van &amp;N</oddFooter>
    <firstFooter>&amp;C&amp;9&amp;F - &amp;A&amp;R&amp;9pagina &amp;P van &amp;N</firstFooter>
  </headerFooter>
  <drawing r:id="rId8"/>
  <legacyDrawingHF r:id="rId9"/>
  <tableParts count="3">
    <tablePart r:id="rId10"/>
    <tablePart r:id="rId11"/>
    <tablePart r:id="rId1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84E93-B1AB-47BC-8068-A0B40F21BA3A}">
  <sheetPr codeName="Blad5"/>
  <dimension ref="A1:E4"/>
  <sheetViews>
    <sheetView zoomScaleNormal="100" workbookViewId="0">
      <selection activeCell="C2" sqref="C2"/>
    </sheetView>
  </sheetViews>
  <sheetFormatPr defaultColWidth="9.1796875" defaultRowHeight="14.5" x14ac:dyDescent="0.35"/>
  <cols>
    <col min="1" max="5" width="19.7265625" style="1" customWidth="1"/>
    <col min="6" max="16384" width="9.1796875" style="1"/>
  </cols>
  <sheetData>
    <row r="1" spans="1:5" customFormat="1" ht="29" x14ac:dyDescent="0.35">
      <c r="A1" t="s">
        <v>48</v>
      </c>
      <c r="B1" t="s">
        <v>13</v>
      </c>
      <c r="C1" s="4" t="s">
        <v>26</v>
      </c>
      <c r="D1" s="4" t="s">
        <v>53</v>
      </c>
      <c r="E1" s="4" t="s">
        <v>54</v>
      </c>
    </row>
    <row r="2" spans="1:5" x14ac:dyDescent="0.35">
      <c r="A2" s="1" t="s">
        <v>49</v>
      </c>
      <c r="B2" s="1" t="str">
        <f>'Fairphone 5'!B2</f>
        <v>Fairphone 5 256GB</v>
      </c>
      <c r="C2" s="24">
        <v>5</v>
      </c>
      <c r="D2" s="3">
        <f>IF(tblVergelijking[[#This Row],[Aantal jaar gebruik (ambitie)]]=0,0,VLOOKUP(tblVergelijking[[#This Row],[Aantal jaar gebruik (ambitie)]],tblTCOPhone1[],6,FALSE))</f>
        <v>161.01500000000001</v>
      </c>
      <c r="E2" s="5">
        <f>IF(tblVergelijking[[#This Row],[Aantal jaar gebruik (ambitie)]]=0,0,VLOOKUP(tblVergelijking[[#This Row],[Aantal jaar gebruik (ambitie)]],tblCO2Phone1[],7,FALSE))</f>
        <v>10.258700000000001</v>
      </c>
    </row>
    <row r="3" spans="1:5" x14ac:dyDescent="0.35">
      <c r="A3" s="1" t="s">
        <v>50</v>
      </c>
      <c r="B3" s="2" t="str">
        <f>'Samsung A54'!B2</f>
        <v>Samsung A54</v>
      </c>
      <c r="C3" s="24">
        <v>3</v>
      </c>
      <c r="D3" s="3">
        <f>IF(tblVergelijking[[#This Row],[Aantal jaar gebruik (ambitie)]]=0,0,VLOOKUP(tblVergelijking[[#This Row],[Aantal jaar gebruik (ambitie)]],tblTCOPhone2[],6,FALSE))</f>
        <v>173.66300000000001</v>
      </c>
      <c r="E3" s="5">
        <f>IF(tblVergelijking[[#This Row],[Aantal jaar gebruik (ambitie)]]=0,0,VLOOKUP(tblVergelijking[[#This Row],[Aantal jaar gebruik (ambitie)]],tblCO2Phone2[],7,FALSE))</f>
        <v>15.369350000000003</v>
      </c>
    </row>
    <row r="4" spans="1:5" x14ac:dyDescent="0.35">
      <c r="A4" s="1" t="s">
        <v>51</v>
      </c>
      <c r="B4" s="1" t="str">
        <f>'iPhone SE'!B2</f>
        <v>iPhone SE 64GB</v>
      </c>
      <c r="C4" s="24">
        <v>4</v>
      </c>
      <c r="D4" s="3">
        <f>IF(tblVergelijking[[#This Row],[Aantal jaar gebruik (ambitie)]]=0,0,VLOOKUP(tblVergelijking[[#This Row],[Aantal jaar gebruik (ambitie)]],tblTCOPhone3[],6,FALSE))</f>
        <v>164.69299999999998</v>
      </c>
      <c r="E4" s="5">
        <f>IF(tblVergelijking[[#This Row],[Aantal jaar gebruik (ambitie)]]=0,0,VLOOKUP(tblVergelijking[[#This Row],[Aantal jaar gebruik (ambitie)]],tblCO2Phone3[],7,FALSE))</f>
        <v>13.516333333333336</v>
      </c>
    </row>
  </sheetData>
  <sheetProtection sheet="1" objects="1" scenarios="1"/>
  <protectedRanges>
    <protectedRange sqref="C2:C4" name="Vergelijking"/>
  </protectedRanges>
  <dataValidations count="1">
    <dataValidation type="whole" allowBlank="1" showInputMessage="1" showErrorMessage="1" sqref="C2:C4" xr:uid="{B2FF8349-69E5-4322-802E-BEF4C963B994}">
      <formula1>0</formula1>
      <formula2>7</formula2>
    </dataValidation>
  </dataValidations>
  <pageMargins left="0.70866141732283472" right="0.70866141732283472" top="0.74803149606299213" bottom="0.92708333333333337" header="0.31496062992125984" footer="0.31496062992125984"/>
  <pageSetup paperSize="9" orientation="portrait" r:id="rId1"/>
  <headerFooter differentFirst="1">
    <oddFooter>&amp;L&amp;G&amp;C&amp;F - &amp;A&amp;Rpagina &amp;P van &amp;N</oddFooter>
    <firstFooter>&amp;C&amp;9&amp;F - &amp;A&amp;R&amp;9pagina &amp;P van &amp;N</firstFooter>
  </headerFooter>
  <legacyDrawingHF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CF1BE-2E6E-4D1B-A486-0A9DF6DA9EC0}">
  <sheetPr codeName="Blad6"/>
  <dimension ref="A1:F11"/>
  <sheetViews>
    <sheetView zoomScaleNormal="100" workbookViewId="0">
      <selection activeCell="D2" sqref="D2"/>
    </sheetView>
  </sheetViews>
  <sheetFormatPr defaultColWidth="9.1796875" defaultRowHeight="14.5" x14ac:dyDescent="0.35"/>
  <cols>
    <col min="1" max="6" width="19.7265625" style="1" customWidth="1"/>
    <col min="7" max="16384" width="9.1796875" style="1"/>
  </cols>
  <sheetData>
    <row r="1" spans="1:6" customFormat="1" ht="29" x14ac:dyDescent="0.35">
      <c r="A1" s="6" t="s">
        <v>48</v>
      </c>
      <c r="B1" s="6" t="s">
        <v>13</v>
      </c>
      <c r="C1" s="7" t="s">
        <v>26</v>
      </c>
      <c r="D1" s="7" t="s">
        <v>52</v>
      </c>
      <c r="E1" s="7" t="s">
        <v>30</v>
      </c>
      <c r="F1" s="7" t="s">
        <v>35</v>
      </c>
    </row>
    <row r="2" spans="1:6" x14ac:dyDescent="0.35">
      <c r="A2" s="1" t="s">
        <v>49</v>
      </c>
      <c r="B2" s="1" t="str">
        <f>tblVergelijking[[#This Row],[Naam van de smartphone]]</f>
        <v>Fairphone 5 256GB</v>
      </c>
      <c r="C2" s="11">
        <f>tblVergelijking[[#This Row],[Aantal jaar gebruik (ambitie)]]</f>
        <v>5</v>
      </c>
      <c r="D2" s="25">
        <v>516</v>
      </c>
      <c r="E2" s="3">
        <f>tblTotaalcijfers[[#This Row],[Aantal toestellen]]*tblVergelijking[[#This Row],[Kost/jaar]]</f>
        <v>83083.740000000005</v>
      </c>
      <c r="F2" s="5">
        <f>tblTotaalcijfers[[#This Row],[Aantal toestellen]]*tblVergelijking[[#This Row],[CO2(kg)/jaar]]</f>
        <v>5293.4892000000009</v>
      </c>
    </row>
    <row r="3" spans="1:6" x14ac:dyDescent="0.35">
      <c r="A3" s="1" t="s">
        <v>50</v>
      </c>
      <c r="B3" s="1" t="str">
        <f>tblVergelijking[[#This Row],[Naam van de smartphone]]</f>
        <v>Samsung A54</v>
      </c>
      <c r="C3" s="11">
        <f>tblVergelijking[[#This Row],[Aantal jaar gebruik (ambitie)]]</f>
        <v>3</v>
      </c>
      <c r="D3" s="25">
        <v>516</v>
      </c>
      <c r="E3" s="3">
        <f>tblTotaalcijfers[[#This Row],[Aantal toestellen]]*tblVergelijking[[#This Row],[Kost/jaar]]</f>
        <v>89610.108000000007</v>
      </c>
      <c r="F3" s="5">
        <f>tblTotaalcijfers[[#This Row],[Aantal toestellen]]*tblVergelijking[[#This Row],[CO2(kg)/jaar]]</f>
        <v>7930.584600000001</v>
      </c>
    </row>
    <row r="4" spans="1:6" x14ac:dyDescent="0.35">
      <c r="A4" s="1" t="s">
        <v>51</v>
      </c>
      <c r="B4" s="1" t="str">
        <f>tblVergelijking[[#This Row],[Naam van de smartphone]]</f>
        <v>iPhone SE 64GB</v>
      </c>
      <c r="C4" s="11">
        <f>tblVergelijking[[#This Row],[Aantal jaar gebruik (ambitie)]]</f>
        <v>4</v>
      </c>
      <c r="D4" s="25">
        <v>538</v>
      </c>
      <c r="E4" s="3">
        <f>tblTotaalcijfers[[#This Row],[Aantal toestellen]]*tblVergelijking[[#This Row],[Kost/jaar]]</f>
        <v>88604.833999999988</v>
      </c>
      <c r="F4" s="5">
        <f>tblTotaalcijfers[[#This Row],[Aantal toestellen]]*tblVergelijking[[#This Row],[CO2(kg)/jaar]]</f>
        <v>7271.7873333333346</v>
      </c>
    </row>
    <row r="9" spans="1:6" x14ac:dyDescent="0.35">
      <c r="E9" s="8"/>
      <c r="F9" s="9"/>
    </row>
    <row r="10" spans="1:6" x14ac:dyDescent="0.35">
      <c r="E10" s="8"/>
    </row>
    <row r="11" spans="1:6" x14ac:dyDescent="0.35">
      <c r="E11" s="9"/>
    </row>
  </sheetData>
  <sheetProtection sheet="1" objects="1" scenarios="1"/>
  <protectedRanges>
    <protectedRange sqref="D2:D4" name="NumberDevices"/>
  </protectedRanges>
  <pageMargins left="0.70866141732283472" right="0.70866141732283472" top="0.74803149606299213" bottom="0.92708333333333337" header="0.31496062992125984" footer="0.31496062992125984"/>
  <pageSetup paperSize="9" orientation="portrait" r:id="rId1"/>
  <headerFooter differentFirst="1">
    <oddFooter>&amp;L&amp;G&amp;C&amp;F - &amp;A&amp;Rpagina &amp;P van &amp;N</oddFooter>
    <firstFooter>&amp;C&amp;9&amp;F - &amp;A&amp;R&amp;9pagina &amp;P van &amp;N</first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Aannames</vt:lpstr>
      <vt:lpstr>Fairphone 5</vt:lpstr>
      <vt:lpstr>Samsung A54</vt:lpstr>
      <vt:lpstr>iPhone SE</vt:lpstr>
      <vt:lpstr>Vergelijking</vt:lpstr>
      <vt:lpstr>Totaal</vt:lpstr>
    </vt:vector>
  </TitlesOfParts>
  <Company>Vlaamse Overheid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Verwimp Els</dc:creator>
  <cp:lastModifiedBy>Weerdesteijn, Marieke (RWS WVL)</cp:lastModifiedBy>
  <cp:lastPrinted>2012-03-22T11:05:35Z</cp:lastPrinted>
  <dcterms:created xsi:type="dcterms:W3CDTF">2011-03-08T08:43:34Z</dcterms:created>
  <dcterms:modified xsi:type="dcterms:W3CDTF">2024-11-29T12:11:33Z</dcterms:modified>
</cp:coreProperties>
</file>